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D:\Андрей\2022\Протоколы 2022\"/>
    </mc:Choice>
  </mc:AlternateContent>
  <bookViews>
    <workbookView xWindow="0" yWindow="0" windowWidth="28800" windowHeight="12300"/>
  </bookViews>
  <sheets>
    <sheet name="Двоеборье проф." sheetId="12" r:id="rId1"/>
    <sheet name="Двоеборье люб" sheetId="11" r:id="rId2"/>
    <sheet name="ПРО тяга б.э." sheetId="10" r:id="rId3"/>
    <sheet name="Люб. тяга б.э." sheetId="9" r:id="rId4"/>
    <sheet name="Люб. жим софт мн.петельная" sheetId="8" r:id="rId5"/>
    <sheet name="ПРО жим софт 1 петельная" sheetId="7" r:id="rId6"/>
    <sheet name="ПРО жим б.э." sheetId="6" r:id="rId7"/>
    <sheet name="Люб. жим б.э." sheetId="5" r:id="rId8"/>
    <sheet name="Любители В.Ж. многоповторный" sheetId="14" r:id="rId9"/>
    <sheet name="Пауэрспорт Любители" sheetId="15" r:id="rId10"/>
    <sheet name="Бицепс Любители" sheetId="16" r:id="rId11"/>
    <sheet name="Жим стоя Профессионалы" sheetId="17" r:id="rId12"/>
    <sheet name="Русская тяга люб. 200 кг." sheetId="18" r:id="rId13"/>
    <sheet name="Русская тяга люб. 100 кг." sheetId="19" r:id="rId14"/>
    <sheet name="Русская тяга люб. 75 кг." sheetId="20" r:id="rId15"/>
    <sheet name="РЖ любители 55 кг." sheetId="21" r:id="rId16"/>
  </sheets>
  <definedNames>
    <definedName name="_FilterDatabase" localSheetId="11" hidden="1">'Жим стоя Профессионалы'!$A$1:$K$3</definedName>
    <definedName name="_FilterDatabase" localSheetId="7" hidden="1">'Люб. жим б.э.'!$A$1:$K$3</definedName>
    <definedName name="_FilterDatabase" localSheetId="15" hidden="1">'РЖ любители 55 кг.'!$A$1:$I$3</definedName>
  </definedNames>
  <calcPr calcId="162913" refMode="R1C1"/>
</workbook>
</file>

<file path=xl/calcChain.xml><?xml version="1.0" encoding="utf-8"?>
<calcChain xmlns="http://schemas.openxmlformats.org/spreadsheetml/2006/main">
  <c r="D6" i="21" l="1"/>
  <c r="I6" i="21"/>
  <c r="J6" i="21"/>
  <c r="D6" i="20"/>
  <c r="I6" i="20"/>
  <c r="J6" i="20"/>
  <c r="D6" i="19"/>
  <c r="I6" i="19"/>
  <c r="J6" i="19"/>
  <c r="D7" i="19"/>
  <c r="I7" i="19"/>
  <c r="J7" i="19"/>
  <c r="D8" i="19"/>
  <c r="I8" i="19"/>
  <c r="J8" i="19"/>
  <c r="D9" i="19"/>
  <c r="I9" i="19"/>
  <c r="J9" i="19"/>
  <c r="D6" i="18"/>
  <c r="I6" i="18"/>
  <c r="J6" i="18"/>
  <c r="D6" i="17" l="1"/>
  <c r="K6" i="17"/>
  <c r="L6" i="17"/>
  <c r="D6" i="16"/>
  <c r="K6" i="16"/>
  <c r="L6" i="16"/>
  <c r="D7" i="16"/>
  <c r="K7" i="16"/>
  <c r="L7" i="16"/>
  <c r="D8" i="16"/>
  <c r="K8" i="16"/>
  <c r="L8" i="16"/>
  <c r="D11" i="16"/>
  <c r="K11" i="16"/>
  <c r="L11" i="16"/>
  <c r="D12" i="16"/>
  <c r="K12" i="16"/>
  <c r="L12" i="16"/>
  <c r="D15" i="16"/>
  <c r="K15" i="16"/>
  <c r="L15" i="16"/>
  <c r="D18" i="16"/>
  <c r="K18" i="16"/>
  <c r="L18" i="16"/>
  <c r="D6" i="15"/>
  <c r="O6" i="15"/>
  <c r="P6" i="15"/>
  <c r="D9" i="15"/>
  <c r="O9" i="15"/>
  <c r="P9" i="15"/>
  <c r="D6" i="14" l="1"/>
  <c r="I6" i="14"/>
  <c r="J6" i="14"/>
  <c r="P6" i="12" l="1"/>
  <c r="O6" i="12"/>
  <c r="D6" i="12"/>
  <c r="P12" i="11"/>
  <c r="O12" i="11"/>
  <c r="D12" i="11"/>
  <c r="P9" i="11"/>
  <c r="O9" i="11"/>
  <c r="D9" i="11"/>
  <c r="P6" i="11"/>
  <c r="O6" i="11"/>
  <c r="D6" i="11"/>
  <c r="L9" i="10"/>
  <c r="K9" i="10"/>
  <c r="D9" i="10"/>
  <c r="L6" i="10"/>
  <c r="K6" i="10"/>
  <c r="D6" i="10"/>
  <c r="L44" i="9"/>
  <c r="K44" i="9"/>
  <c r="D44" i="9"/>
  <c r="L41" i="9"/>
  <c r="K41" i="9"/>
  <c r="D41" i="9"/>
  <c r="L38" i="9"/>
  <c r="K38" i="9"/>
  <c r="D38" i="9"/>
  <c r="L35" i="9"/>
  <c r="K35" i="9"/>
  <c r="D35" i="9"/>
  <c r="L34" i="9"/>
  <c r="K34" i="9"/>
  <c r="D34" i="9"/>
  <c r="L33" i="9"/>
  <c r="K33" i="9"/>
  <c r="D33" i="9"/>
  <c r="L32" i="9"/>
  <c r="K32" i="9"/>
  <c r="D32" i="9"/>
  <c r="L31" i="9"/>
  <c r="K31" i="9"/>
  <c r="D31" i="9"/>
  <c r="L30" i="9"/>
  <c r="K30" i="9"/>
  <c r="D30" i="9"/>
  <c r="L29" i="9"/>
  <c r="K29" i="9"/>
  <c r="D29" i="9"/>
  <c r="L26" i="9"/>
  <c r="K26" i="9"/>
  <c r="D26" i="9"/>
  <c r="L25" i="9"/>
  <c r="K25" i="9"/>
  <c r="D25" i="9"/>
  <c r="L22" i="9"/>
  <c r="K22" i="9"/>
  <c r="D22" i="9"/>
  <c r="L21" i="9"/>
  <c r="K21" i="9"/>
  <c r="D21" i="9"/>
  <c r="L20" i="9"/>
  <c r="K20" i="9"/>
  <c r="D20" i="9"/>
  <c r="L19" i="9"/>
  <c r="K19" i="9"/>
  <c r="D19" i="9"/>
  <c r="L16" i="9"/>
  <c r="K16" i="9"/>
  <c r="D16" i="9"/>
  <c r="L13" i="9"/>
  <c r="K13" i="9"/>
  <c r="D13" i="9"/>
  <c r="L10" i="9"/>
  <c r="K10" i="9"/>
  <c r="D10" i="9"/>
  <c r="L7" i="9"/>
  <c r="K7" i="9"/>
  <c r="D7" i="9"/>
  <c r="L6" i="9"/>
  <c r="K6" i="9"/>
  <c r="D6" i="9"/>
  <c r="L6" i="7"/>
  <c r="K6" i="7"/>
  <c r="D6" i="7"/>
  <c r="L6" i="6"/>
  <c r="K6" i="6"/>
  <c r="D6" i="6"/>
  <c r="L24" i="5"/>
  <c r="K24" i="5"/>
  <c r="D24" i="5"/>
  <c r="L21" i="5"/>
  <c r="K21" i="5"/>
  <c r="D21" i="5"/>
  <c r="L20" i="5"/>
  <c r="K20" i="5"/>
  <c r="D20" i="5"/>
  <c r="L17" i="5"/>
  <c r="K17" i="5"/>
  <c r="D17" i="5"/>
  <c r="L14" i="5"/>
  <c r="K14" i="5"/>
  <c r="D14" i="5"/>
  <c r="L13" i="5"/>
  <c r="K13" i="5"/>
  <c r="D13" i="5"/>
  <c r="L12" i="5"/>
  <c r="K12" i="5"/>
  <c r="D12" i="5"/>
  <c r="L9" i="5"/>
  <c r="K9" i="5"/>
  <c r="D9" i="5"/>
  <c r="L6" i="5"/>
  <c r="K6" i="5"/>
  <c r="D6" i="5"/>
</calcChain>
</file>

<file path=xl/sharedStrings.xml><?xml version="1.0" encoding="utf-8"?>
<sst xmlns="http://schemas.openxmlformats.org/spreadsheetml/2006/main" count="1212" uniqueCount="366">
  <si>
    <t>ФИО</t>
  </si>
  <si>
    <t>Сумма</t>
  </si>
  <si>
    <t>Тренер</t>
  </si>
  <si>
    <t>Очки</t>
  </si>
  <si>
    <t>Команда</t>
  </si>
  <si>
    <t>Рек</t>
  </si>
  <si>
    <t>Возрастная группа
Дата рождения/Возраст</t>
  </si>
  <si>
    <t>Город/Область</t>
  </si>
  <si>
    <t>Вес</t>
  </si>
  <si>
    <t>Повторы</t>
  </si>
  <si>
    <t>Собственный 
вес</t>
  </si>
  <si>
    <t>Чемпионат ЮФО
Любители жим лежа без экипировки
Краснодар/Краснодарский край 22 - 23 октября 2022 г.</t>
  </si>
  <si>
    <t>Shv/Mel</t>
  </si>
  <si>
    <t>Жим лёжа</t>
  </si>
  <si>
    <t>ВЕСОВАЯ КАТЕГОРИЯ   67.5</t>
  </si>
  <si>
    <t>Чухраенко Владимир</t>
  </si>
  <si>
    <t>1. Чухраенко Владимир</t>
  </si>
  <si>
    <t>Юниоры 20 - 23 (24.03.2000)/22</t>
  </si>
  <si>
    <t>67,50</t>
  </si>
  <si>
    <t xml:space="preserve">лично </t>
  </si>
  <si>
    <t xml:space="preserve">Белореченск/Краснодарский край </t>
  </si>
  <si>
    <t>90,0</t>
  </si>
  <si>
    <t>95,0</t>
  </si>
  <si>
    <t xml:space="preserve"> </t>
  </si>
  <si>
    <t>ВЕСОВАЯ КАТЕГОРИЯ   75</t>
  </si>
  <si>
    <t>Лойко Артем</t>
  </si>
  <si>
    <t>1. Лойко Артем</t>
  </si>
  <si>
    <t>Юноши 18 - 19 (08.04.2003)/19</t>
  </si>
  <si>
    <t>74,20</t>
  </si>
  <si>
    <t xml:space="preserve">Майкоп/Адыгея </t>
  </si>
  <si>
    <t>115,0</t>
  </si>
  <si>
    <t>120,0</t>
  </si>
  <si>
    <t xml:space="preserve">Лойко И. Н. </t>
  </si>
  <si>
    <t>ВЕСОВАЯ КАТЕГОРИЯ   82.5</t>
  </si>
  <si>
    <t>Ивасенко Владислав</t>
  </si>
  <si>
    <t>1. Ивасенко Владислав</t>
  </si>
  <si>
    <t>Юноши 14-15 (24.01.2008)/14</t>
  </si>
  <si>
    <t>79,70</t>
  </si>
  <si>
    <t xml:space="preserve">Анапа/Краснодарский край </t>
  </si>
  <si>
    <t>110,0</t>
  </si>
  <si>
    <t>130,0</t>
  </si>
  <si>
    <t xml:space="preserve">Шукшин П.Н. </t>
  </si>
  <si>
    <t>Васнев Денис</t>
  </si>
  <si>
    <t>-. Васнев Денис</t>
  </si>
  <si>
    <t>Открытая (19.04.1986)/36</t>
  </si>
  <si>
    <t>81,90</t>
  </si>
  <si>
    <t xml:space="preserve">Light fit </t>
  </si>
  <si>
    <t xml:space="preserve">Краснодар/Краснодарский край </t>
  </si>
  <si>
    <t>125,0</t>
  </si>
  <si>
    <t>135,0</t>
  </si>
  <si>
    <t>137,5</t>
  </si>
  <si>
    <t xml:space="preserve">Ухобтов В. </t>
  </si>
  <si>
    <t>Дворкин Леонид</t>
  </si>
  <si>
    <t>1. Дворкин Леонид</t>
  </si>
  <si>
    <t>Мастера 80+ (23.01.1941)/81</t>
  </si>
  <si>
    <t>76,90</t>
  </si>
  <si>
    <t xml:space="preserve">Проф-фитнес </t>
  </si>
  <si>
    <t>100,0</t>
  </si>
  <si>
    <t xml:space="preserve">Авраменко О. </t>
  </si>
  <si>
    <t>ВЕСОВАЯ КАТЕГОРИЯ   90</t>
  </si>
  <si>
    <t>Дейко Владислав</t>
  </si>
  <si>
    <t>1. Дейко Владислав</t>
  </si>
  <si>
    <t>Открытая (23.09.1993)/29</t>
  </si>
  <si>
    <t>88,10</t>
  </si>
  <si>
    <t>140,0</t>
  </si>
  <si>
    <t>ВЕСОВАЯ КАТЕГОРИЯ   100</t>
  </si>
  <si>
    <t>Куданов Иван</t>
  </si>
  <si>
    <t>1. Куданов Иван</t>
  </si>
  <si>
    <t>Юниоры 20 - 23 (08.11.1998)/23</t>
  </si>
  <si>
    <t>99,60</t>
  </si>
  <si>
    <t xml:space="preserve">FTZ </t>
  </si>
  <si>
    <t>180,0</t>
  </si>
  <si>
    <t>187,5</t>
  </si>
  <si>
    <t xml:space="preserve">Геворк </t>
  </si>
  <si>
    <t>Открытая (08.11.1998)/23</t>
  </si>
  <si>
    <t>ВЕСОВАЯ КАТЕГОРИЯ   125</t>
  </si>
  <si>
    <t>Черепанов Александр</t>
  </si>
  <si>
    <t>1. Черепанов Александр</t>
  </si>
  <si>
    <t>Открытая (11.05.1989)/33</t>
  </si>
  <si>
    <t>125,00</t>
  </si>
  <si>
    <t>175,0</t>
  </si>
  <si>
    <t>185,0</t>
  </si>
  <si>
    <t xml:space="preserve">Дроб Максим </t>
  </si>
  <si>
    <t>Главный судья:</t>
  </si>
  <si>
    <t>Главный секретарь:</t>
  </si>
  <si>
    <t>Старший судья:</t>
  </si>
  <si>
    <t>Боковой судья:</t>
  </si>
  <si>
    <t>Секретарь:</t>
  </si>
  <si>
    <t xml:space="preserve">Абсолютный зачёт </t>
  </si>
  <si>
    <t xml:space="preserve">Мужчины </t>
  </si>
  <si>
    <t xml:space="preserve">Юноши </t>
  </si>
  <si>
    <t xml:space="preserve">ФИО </t>
  </si>
  <si>
    <t xml:space="preserve">Возрастная группа </t>
  </si>
  <si>
    <t xml:space="preserve">Весовая </t>
  </si>
  <si>
    <t xml:space="preserve">Сумма </t>
  </si>
  <si>
    <t xml:space="preserve">Результат </t>
  </si>
  <si>
    <t xml:space="preserve">Shv/Mel </t>
  </si>
  <si>
    <t xml:space="preserve">Юноши 14-15 </t>
  </si>
  <si>
    <t>82.5</t>
  </si>
  <si>
    <t xml:space="preserve">Юноши 18 - 19 </t>
  </si>
  <si>
    <t>75</t>
  </si>
  <si>
    <t xml:space="preserve">Юниоры </t>
  </si>
  <si>
    <t xml:space="preserve">Юниоры 20 - 23 </t>
  </si>
  <si>
    <t>100</t>
  </si>
  <si>
    <t>67.5</t>
  </si>
  <si>
    <t xml:space="preserve">Открытая </t>
  </si>
  <si>
    <t>125</t>
  </si>
  <si>
    <t>90</t>
  </si>
  <si>
    <t xml:space="preserve">Мастера </t>
  </si>
  <si>
    <t xml:space="preserve">Мастера 80+ </t>
  </si>
  <si>
    <t>Результат</t>
  </si>
  <si>
    <t>Чемпионат ЮФО
ПРО жим лежа без экипировки
Краснодар/Краснодарский край 22 - 23 октября 2022 г.</t>
  </si>
  <si>
    <t>Рыбалко Владимир</t>
  </si>
  <si>
    <t>1. Рыбалко Владимир</t>
  </si>
  <si>
    <t>Открытая (04.05.1987)/35</t>
  </si>
  <si>
    <t>86,80</t>
  </si>
  <si>
    <t>170,0</t>
  </si>
  <si>
    <t>177,5</t>
  </si>
  <si>
    <t>Чемпионат ЮФО
ПРО жим лежа Софт экипировка однопетельная
Краснодар/Краснодарский край 22 - 23 октября 2022 г.</t>
  </si>
  <si>
    <t>Сухов Сергей</t>
  </si>
  <si>
    <t>1. Сухов Сергей</t>
  </si>
  <si>
    <t>Открытая (17.10.1996)/26</t>
  </si>
  <si>
    <t>80,60</t>
  </si>
  <si>
    <t xml:space="preserve">Павловск/Воронежская область </t>
  </si>
  <si>
    <t>150,0</t>
  </si>
  <si>
    <t>155,0</t>
  </si>
  <si>
    <t>160,0</t>
  </si>
  <si>
    <t>Чемпионат ЮФО
Любители жим лежа в Софт экипировка многопетельная
Краснодар/Краснодарский край 22 - 23 октября 2022 г.</t>
  </si>
  <si>
    <t>Чемпионат ЮФО
Любители становая тяга без экипировки
Краснодар/Краснодарский край 22 - 23 октября 2022 г.</t>
  </si>
  <si>
    <t>Становая тяга</t>
  </si>
  <si>
    <t>Кунашева Рита</t>
  </si>
  <si>
    <t>1. Кунашева Рита</t>
  </si>
  <si>
    <t>Открытая (17.06.1963)/59</t>
  </si>
  <si>
    <t>66,70</t>
  </si>
  <si>
    <t xml:space="preserve">Баксан/Кабардино-Балкария </t>
  </si>
  <si>
    <t>80,0</t>
  </si>
  <si>
    <t xml:space="preserve">Хашпаков М. </t>
  </si>
  <si>
    <t>Мастера 55 - 59 (17.06.1963)/59</t>
  </si>
  <si>
    <t>Воробьева Елена</t>
  </si>
  <si>
    <t>1. Воробьева Елена</t>
  </si>
  <si>
    <t>Мастера 40 - 44 (16.07.1980)/42</t>
  </si>
  <si>
    <t>80,00</t>
  </si>
  <si>
    <t>55,0</t>
  </si>
  <si>
    <t>60,0</t>
  </si>
  <si>
    <t>62,5</t>
  </si>
  <si>
    <t>ВЕСОВАЯ КАТЕГОРИЯ   48</t>
  </si>
  <si>
    <t>Шукшин Павел</t>
  </si>
  <si>
    <t>1. Шукшин Павел</t>
  </si>
  <si>
    <t>Юноши 14-15 (27.09.2008)/14</t>
  </si>
  <si>
    <t>47,30</t>
  </si>
  <si>
    <t>ВЕСОВАЯ КАТЕГОРИЯ   52</t>
  </si>
  <si>
    <t>Широкобородов Антон</t>
  </si>
  <si>
    <t>1. Широкобородов Антон</t>
  </si>
  <si>
    <t>Юноши 14-15 (18.11.2007)/14</t>
  </si>
  <si>
    <t>50,00</t>
  </si>
  <si>
    <t xml:space="preserve">Star Gym Team </t>
  </si>
  <si>
    <t xml:space="preserve">Староминская/Краснодарский край </t>
  </si>
  <si>
    <t xml:space="preserve">Масляков Сергей Викторович </t>
  </si>
  <si>
    <t>Паронян Карен</t>
  </si>
  <si>
    <t>1. Паронян Карен</t>
  </si>
  <si>
    <t>Юноши 16 - 17 (16.09.2005)/17</t>
  </si>
  <si>
    <t>74,40</t>
  </si>
  <si>
    <t>190,0</t>
  </si>
  <si>
    <t>Попов Никита</t>
  </si>
  <si>
    <t>1. Попов Никита</t>
  </si>
  <si>
    <t>Открытая (28.09.2005)/17</t>
  </si>
  <si>
    <t>73,50</t>
  </si>
  <si>
    <t>-. Масляков Сергей</t>
  </si>
  <si>
    <t>Открытая (14.03.1970)/52</t>
  </si>
  <si>
    <t>72,20</t>
  </si>
  <si>
    <t xml:space="preserve">Старжим </t>
  </si>
  <si>
    <t>200,0</t>
  </si>
  <si>
    <t>210,0</t>
  </si>
  <si>
    <t xml:space="preserve">Кожушний </t>
  </si>
  <si>
    <t>Мастера 50 - 54 (14.03.1970)/52</t>
  </si>
  <si>
    <t>1. Васнев Денис</t>
  </si>
  <si>
    <t>217,5</t>
  </si>
  <si>
    <t>Бородаенко Александр</t>
  </si>
  <si>
    <t>2. Бородаенко Александр</t>
  </si>
  <si>
    <t>Открытая (17.01.1983)/39</t>
  </si>
  <si>
    <t>82,50</t>
  </si>
  <si>
    <t xml:space="preserve">Lyashko Team </t>
  </si>
  <si>
    <t xml:space="preserve">Северская/Краснодарский край </t>
  </si>
  <si>
    <t xml:space="preserve">Ляшко Василий </t>
  </si>
  <si>
    <t>Алексаткин Денис</t>
  </si>
  <si>
    <t>1. Алексаткин Денис</t>
  </si>
  <si>
    <t>Юниоры 20 - 23 (01.09.2000)/22</t>
  </si>
  <si>
    <t>87,60</t>
  </si>
  <si>
    <t>197,5</t>
  </si>
  <si>
    <t>205,0</t>
  </si>
  <si>
    <t>Голубков Александр</t>
  </si>
  <si>
    <t>1. Голубков Александр</t>
  </si>
  <si>
    <t>Открытая (25.06.1987)/35</t>
  </si>
  <si>
    <t>88,80</t>
  </si>
  <si>
    <t xml:space="preserve">Ляшко Тим </t>
  </si>
  <si>
    <t>240,0</t>
  </si>
  <si>
    <t>257,5</t>
  </si>
  <si>
    <t>Кондратенко Константин</t>
  </si>
  <si>
    <t>2. Кондратенко Константин</t>
  </si>
  <si>
    <t>Открытая (04.01.1988)/34</t>
  </si>
  <si>
    <t>89,60</t>
  </si>
  <si>
    <t>225,0</t>
  </si>
  <si>
    <t>Кунашев Руслан</t>
  </si>
  <si>
    <t>3. Кунашев Руслан</t>
  </si>
  <si>
    <t>Открытая (27.08.1956)/66</t>
  </si>
  <si>
    <t>89,20</t>
  </si>
  <si>
    <t>Колесников Евгений</t>
  </si>
  <si>
    <t>1. Колесников Евгений</t>
  </si>
  <si>
    <t>Мастера 40 - 44 (22.10.1979)/43</t>
  </si>
  <si>
    <t>Буров Андрей</t>
  </si>
  <si>
    <t>1. Буров Андрей</t>
  </si>
  <si>
    <t>Мастера 50 - 54 (13.12.1967)/54</t>
  </si>
  <si>
    <t>89,00</t>
  </si>
  <si>
    <t>230,0</t>
  </si>
  <si>
    <t>1. Кунашев Руслан</t>
  </si>
  <si>
    <t>Мастера 65 - 69 (27.08.1956)/66</t>
  </si>
  <si>
    <t>ВЕСОВАЯ КАТЕГОРИЯ   110</t>
  </si>
  <si>
    <t>Дедик Павел</t>
  </si>
  <si>
    <t>1. Дедик Павел</t>
  </si>
  <si>
    <t>Мастера 45 - 49 (04.05.1975)/47</t>
  </si>
  <si>
    <t>106,90</t>
  </si>
  <si>
    <t xml:space="preserve">Геленджик/Краснодарский край </t>
  </si>
  <si>
    <t>250,0</t>
  </si>
  <si>
    <t>255,0</t>
  </si>
  <si>
    <t>285,0</t>
  </si>
  <si>
    <t>295,0</t>
  </si>
  <si>
    <t>305,0</t>
  </si>
  <si>
    <t>ВЕСОВАЯ КАТЕГОРИЯ   140</t>
  </si>
  <si>
    <t>Халаджи Дмитрий</t>
  </si>
  <si>
    <t>1. Халаджи Дмитрий</t>
  </si>
  <si>
    <t>Мастера 40 - 44 (19.04.1979)/43</t>
  </si>
  <si>
    <t>126,80</t>
  </si>
  <si>
    <t xml:space="preserve">Донецк/ </t>
  </si>
  <si>
    <t>275,0</t>
  </si>
  <si>
    <t>282,5</t>
  </si>
  <si>
    <t>290,0</t>
  </si>
  <si>
    <t xml:space="preserve">Женщины </t>
  </si>
  <si>
    <t xml:space="preserve">Мастера 55 - 59 </t>
  </si>
  <si>
    <t xml:space="preserve">Мастера 40 - 44 </t>
  </si>
  <si>
    <t>52</t>
  </si>
  <si>
    <t>48</t>
  </si>
  <si>
    <t xml:space="preserve">Юноши 16 - 17 </t>
  </si>
  <si>
    <t xml:space="preserve">Мастера 65 - 69 </t>
  </si>
  <si>
    <t xml:space="preserve">Мастера 50 - 54 </t>
  </si>
  <si>
    <t>140</t>
  </si>
  <si>
    <t xml:space="preserve">Мастера 45 - 49 </t>
  </si>
  <si>
    <t>110</t>
  </si>
  <si>
    <t>Чемпионат ЮФО
ПРО становая тяга без экипировки
Краснодар/Краснодарский край 22 - 23 октября 2022 г.</t>
  </si>
  <si>
    <t>Корсунов Илья</t>
  </si>
  <si>
    <t>1. Корсунов Илья</t>
  </si>
  <si>
    <t>Открытая (27.06.1990)/32</t>
  </si>
  <si>
    <t>280,0</t>
  </si>
  <si>
    <t>300,0</t>
  </si>
  <si>
    <t xml:space="preserve">Грибов А. </t>
  </si>
  <si>
    <t>Выдра Юрий</t>
  </si>
  <si>
    <t>1. Выдра Юрий</t>
  </si>
  <si>
    <t>Открытая (18.10.1975)/47</t>
  </si>
  <si>
    <t>101,80</t>
  </si>
  <si>
    <t>247,5</t>
  </si>
  <si>
    <t>Чемпионат ЮФО
Силовое двоеборье любители
Краснодар/Краснодарский край 22 - 23 октября 2022 г.</t>
  </si>
  <si>
    <t>ВЕСОВАЯ КАТЕГОРИЯ   90+</t>
  </si>
  <si>
    <t>Бондаренко Маргарита</t>
  </si>
  <si>
    <t>1. Бондаренко Маргарита</t>
  </si>
  <si>
    <t>Мастера 40 - 44 (08.07.1978)/44</t>
  </si>
  <si>
    <t>107,70</t>
  </si>
  <si>
    <t>47,5</t>
  </si>
  <si>
    <t>57,5</t>
  </si>
  <si>
    <t>145,0</t>
  </si>
  <si>
    <t>Ворфоломеев Дмитрий</t>
  </si>
  <si>
    <t>1. Ворфоломеев Дмитрий</t>
  </si>
  <si>
    <t>Открытая (23.02.1990)/32</t>
  </si>
  <si>
    <t>94,30</t>
  </si>
  <si>
    <t xml:space="preserve">Тимашёвск/Краснодарский край </t>
  </si>
  <si>
    <t>220,0</t>
  </si>
  <si>
    <t>90+</t>
  </si>
  <si>
    <t>Чемпионат ЮФО
Силовое двоеборье профессионалы
Краснодар/Краснодарский край 22 - 23 октября 2022 г.</t>
  </si>
  <si>
    <t xml:space="preserve">НАП Н.Ж. </t>
  </si>
  <si>
    <t>26,0</t>
  </si>
  <si>
    <t>Мн.повт. жим</t>
  </si>
  <si>
    <t>НАП Н.Ж.</t>
  </si>
  <si>
    <t>Чемпионат ЮФО (Многоповторный)
Любители Военный жим многоповторный
Краснодар/Краснодарский край 22 - 23 октября 2022 г.</t>
  </si>
  <si>
    <t>Тарасенко Максим</t>
  </si>
  <si>
    <t>Вьюхина Надежда</t>
  </si>
  <si>
    <t>65,0</t>
  </si>
  <si>
    <t>85,0</t>
  </si>
  <si>
    <t>75,0</t>
  </si>
  <si>
    <t>73,10</t>
  </si>
  <si>
    <t>Открытая (12.05.1989)/33</t>
  </si>
  <si>
    <t>1. Тарасенко Максим</t>
  </si>
  <si>
    <t xml:space="preserve">. </t>
  </si>
  <si>
    <t>40,0</t>
  </si>
  <si>
    <t>37,5</t>
  </si>
  <si>
    <t>35,0</t>
  </si>
  <si>
    <t>32,5</t>
  </si>
  <si>
    <t>51,30</t>
  </si>
  <si>
    <t>Открытая (17.03.1985)/37</t>
  </si>
  <si>
    <t>1. Вьюхина Надежда</t>
  </si>
  <si>
    <t>Подъем на бицепс</t>
  </si>
  <si>
    <t>Жим стоя</t>
  </si>
  <si>
    <t>Чемпионат ЮФО (Пауэрспорт)
Пауэрспорт Любители
Краснодар/Краснодарский край 22 - 23 октября 2022 г.</t>
  </si>
  <si>
    <t>Плюта Денис</t>
  </si>
  <si>
    <t>Ищенко Сергей</t>
  </si>
  <si>
    <t>Тарасенко Тарас</t>
  </si>
  <si>
    <t>Носов Богдан</t>
  </si>
  <si>
    <t xml:space="preserve">Юноши 0-13 </t>
  </si>
  <si>
    <t>Астанков Михаил</t>
  </si>
  <si>
    <t>89,90</t>
  </si>
  <si>
    <t>Открытая (24.06.1994)/28</t>
  </si>
  <si>
    <t>1. Плюта Денис</t>
  </si>
  <si>
    <t>52,5</t>
  </si>
  <si>
    <t>Юноши 16 - 17 (09.12.2004)/17</t>
  </si>
  <si>
    <t>1. Ищенко Сергей</t>
  </si>
  <si>
    <t>45,0</t>
  </si>
  <si>
    <t>Юноши 0-13 (27.12.2008)/13</t>
  </si>
  <si>
    <t>1. Астанков Михаил</t>
  </si>
  <si>
    <t>50,0</t>
  </si>
  <si>
    <t>67,10</t>
  </si>
  <si>
    <t>64,80</t>
  </si>
  <si>
    <t>Юноши 16 - 17 (02.07.2005)/17</t>
  </si>
  <si>
    <t>2. Тарасенко Тарас</t>
  </si>
  <si>
    <t>64,60</t>
  </si>
  <si>
    <t>Юноши 16 - 17 (09.08.2006)/16</t>
  </si>
  <si>
    <t>1. Носов Богдан</t>
  </si>
  <si>
    <t>Чемпионат ЮФО (Пауэрспорт)
Одиночный подъём штанги на бицепс Любители
Краснодар/Краснодарский край 22 - 23 октября 2022 г.</t>
  </si>
  <si>
    <t>Хашпаков Муса</t>
  </si>
  <si>
    <t xml:space="preserve">Губжев Б.Р. </t>
  </si>
  <si>
    <t xml:space="preserve">Нальчик/Кабардино-Балкария </t>
  </si>
  <si>
    <t xml:space="preserve">Легион г. Нальчик </t>
  </si>
  <si>
    <t>85,60</t>
  </si>
  <si>
    <t>Открытая (29.10.1994)/27</t>
  </si>
  <si>
    <t>1. Хашпаков Муса</t>
  </si>
  <si>
    <t>Чемпионат ЮФО (Пауэрспорт)
Одиночный жим штанги стоя Профессионалы
Краснодар/Краснодарский край 22 - 23 октября 2022 г.</t>
  </si>
  <si>
    <t>All</t>
  </si>
  <si>
    <t>Крячко Андрей</t>
  </si>
  <si>
    <t xml:space="preserve">Атлетизм </t>
  </si>
  <si>
    <t>12,0</t>
  </si>
  <si>
    <t>84,60</t>
  </si>
  <si>
    <t>Открытая (21.04.1986)/36</t>
  </si>
  <si>
    <t>1. Крячко Андрей</t>
  </si>
  <si>
    <t>ВЕСОВАЯ КАТЕГОРИЯ   All</t>
  </si>
  <si>
    <t>Русская становая</t>
  </si>
  <si>
    <t>Атлетизм</t>
  </si>
  <si>
    <t>Чемпионат ЮФО (Русский)
Русская станова тяга любители 200 кг.
Краснодар/Краснодарский край 22 - 23 октября 2022 г.</t>
  </si>
  <si>
    <t>Масляков Сергей</t>
  </si>
  <si>
    <t>Шульга Руслан</t>
  </si>
  <si>
    <t>2,0</t>
  </si>
  <si>
    <t>Открытая (18.11.2007)/14</t>
  </si>
  <si>
    <t>2. Широкобородов Антон</t>
  </si>
  <si>
    <t>75,00</t>
  </si>
  <si>
    <t>1. Масляков Сергей</t>
  </si>
  <si>
    <t>15,0</t>
  </si>
  <si>
    <t xml:space="preserve">Масляков С.В. </t>
  </si>
  <si>
    <t>25,0</t>
  </si>
  <si>
    <t>66,60</t>
  </si>
  <si>
    <t>Юноши 16 - 17 (28.02.2005)/17</t>
  </si>
  <si>
    <t>1. Шульга Руслан</t>
  </si>
  <si>
    <t>Чемпионат ЮФО (Русский)
Русская станова тяга любители 100 кг.
Краснодар/Краснодарский край 22 - 23 октября 2022 г.</t>
  </si>
  <si>
    <t>Шиклина Марина</t>
  </si>
  <si>
    <t>34,0</t>
  </si>
  <si>
    <t>55,70</t>
  </si>
  <si>
    <t>Открытая (02.09.1989)/33</t>
  </si>
  <si>
    <t>1. Шиклина Марина</t>
  </si>
  <si>
    <t>Чемпионат ЮФО (Русский)
Русская станова тяга любители 75 кг.
Краснодар/Краснодарский край 22 - 23 октября 2022 г.</t>
  </si>
  <si>
    <t>29,0</t>
  </si>
  <si>
    <t>Русский жим</t>
  </si>
  <si>
    <t>Чемпионат ЮФО (Русский)
Русский жим любители 55 кг.
Краснодар/Краснодарский край 22 - 23 октября 2022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</si>
</sst>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"/>
    <numFmt numFmtId="165" formatCode="0.0000"/>
  </numFmts>
  <fonts count="9" x14ac:knownFonts="1">
    <font>
      <sz val="10"/>
      <name val="Arial Cyr"/>
      <charset val="204"/>
    </font>
    <font>
      <b/>
      <sz val="10"/>
      <name val="Arial Cyr"/>
      <charset val="204"/>
    </font>
    <font>
      <b/>
      <sz val="11"/>
      <name val="Arial Cyr"/>
      <charset val="204"/>
    </font>
    <font>
      <b/>
      <sz val="24"/>
      <name val="Arial Cyr"/>
      <charset val="204"/>
    </font>
    <font>
      <sz val="12"/>
      <name val="Arial Cyr"/>
      <charset val="204"/>
    </font>
    <font>
      <i/>
      <sz val="12"/>
      <name val="Arial Cyr"/>
      <charset val="204"/>
    </font>
    <font>
      <strike/>
      <sz val="10"/>
      <name val="Arial Cyr"/>
      <charset val="204"/>
    </font>
    <font>
      <sz val="14"/>
      <name val="Arial Cyr"/>
      <charset val="204"/>
    </font>
    <font>
      <i/>
      <sz val="11"/>
      <name val="Arial Cyr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49" fontId="2" fillId="0" borderId="0" xfId="0" applyNumberFormat="1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center"/>
    </xf>
    <xf numFmtId="49" fontId="0" fillId="0" borderId="0" xfId="0" applyNumberFormat="1" applyFont="1" applyFill="1" applyBorder="1" applyAlignment="1">
      <alignment horizontal="left"/>
    </xf>
    <xf numFmtId="0" fontId="0" fillId="0" borderId="0" xfId="0" applyNumberFormat="1" applyFont="1" applyFill="1" applyBorder="1" applyAlignment="1">
      <alignment horizontal="left"/>
    </xf>
    <xf numFmtId="49" fontId="2" fillId="0" borderId="1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left"/>
    </xf>
    <xf numFmtId="0" fontId="1" fillId="0" borderId="0" xfId="0" applyNumberFormat="1" applyFont="1" applyFill="1" applyBorder="1" applyAlignment="1">
      <alignment horizontal="center"/>
    </xf>
    <xf numFmtId="4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1" xfId="0" applyNumberFormat="1" applyFont="1" applyFill="1" applyBorder="1" applyAlignment="1">
      <alignment horizontal="left"/>
    </xf>
    <xf numFmtId="0" fontId="0" fillId="0" borderId="11" xfId="0" applyNumberFormat="1" applyFont="1" applyFill="1" applyBorder="1" applyAlignment="1">
      <alignment horizontal="left"/>
    </xf>
    <xf numFmtId="49" fontId="6" fillId="0" borderId="11" xfId="0" applyNumberFormat="1" applyFont="1" applyFill="1" applyBorder="1" applyAlignment="1">
      <alignment horizontal="center"/>
    </xf>
    <xf numFmtId="49" fontId="0" fillId="0" borderId="11" xfId="0" applyNumberFormat="1" applyFont="1" applyFill="1" applyBorder="1" applyAlignment="1">
      <alignment horizontal="center"/>
    </xf>
    <xf numFmtId="0" fontId="1" fillId="0" borderId="11" xfId="0" applyNumberFormat="1" applyFont="1" applyFill="1" applyBorder="1" applyAlignment="1">
      <alignment horizontal="left"/>
    </xf>
    <xf numFmtId="0" fontId="1" fillId="0" borderId="11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left"/>
    </xf>
    <xf numFmtId="0" fontId="0" fillId="0" borderId="12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center"/>
    </xf>
    <xf numFmtId="49" fontId="0" fillId="0" borderId="12" xfId="0" applyNumberFormat="1" applyFont="1" applyFill="1" applyBorder="1" applyAlignment="1">
      <alignment horizontal="center"/>
    </xf>
    <xf numFmtId="0" fontId="1" fillId="0" borderId="12" xfId="0" applyNumberFormat="1" applyFont="1" applyFill="1" applyBorder="1" applyAlignment="1">
      <alignment horizontal="left"/>
    </xf>
    <xf numFmtId="0" fontId="1" fillId="0" borderId="12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left"/>
    </xf>
    <xf numFmtId="0" fontId="0" fillId="0" borderId="13" xfId="0" applyNumberFormat="1" applyFont="1" applyFill="1" applyBorder="1" applyAlignment="1">
      <alignment horizontal="left"/>
    </xf>
    <xf numFmtId="49" fontId="6" fillId="0" borderId="13" xfId="0" applyNumberFormat="1" applyFont="1" applyFill="1" applyBorder="1" applyAlignment="1">
      <alignment horizontal="center"/>
    </xf>
    <xf numFmtId="49" fontId="0" fillId="0" borderId="13" xfId="0" applyNumberFormat="1" applyFont="1" applyFill="1" applyBorder="1" applyAlignment="1">
      <alignment horizontal="center"/>
    </xf>
    <xf numFmtId="0" fontId="1" fillId="0" borderId="13" xfId="0" applyNumberFormat="1" applyFont="1" applyFill="1" applyBorder="1" applyAlignment="1">
      <alignment horizontal="left"/>
    </xf>
    <xf numFmtId="0" fontId="1" fillId="0" borderId="13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left"/>
    </xf>
    <xf numFmtId="0" fontId="0" fillId="0" borderId="8" xfId="0" applyNumberFormat="1" applyFont="1" applyFill="1" applyBorder="1" applyAlignment="1">
      <alignment horizontal="left"/>
    </xf>
    <xf numFmtId="49" fontId="6" fillId="0" borderId="8" xfId="0" applyNumberFormat="1" applyFont="1" applyFill="1" applyBorder="1" applyAlignment="1">
      <alignment horizontal="center"/>
    </xf>
    <xf numFmtId="49" fontId="0" fillId="0" borderId="8" xfId="0" applyNumberFormat="1" applyFont="1" applyFill="1" applyBorder="1" applyAlignment="1">
      <alignment horizontal="center"/>
    </xf>
    <xf numFmtId="0" fontId="1" fillId="0" borderId="8" xfId="0" applyNumberFormat="1" applyFont="1" applyFill="1" applyBorder="1" applyAlignment="1">
      <alignment horizontal="left"/>
    </xf>
    <xf numFmtId="0" fontId="1" fillId="0" borderId="8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/>
    </xf>
    <xf numFmtId="49" fontId="7" fillId="0" borderId="0" xfId="0" applyNumberFormat="1" applyFont="1" applyFill="1" applyBorder="1" applyAlignment="1">
      <alignment horizontal="left"/>
    </xf>
    <xf numFmtId="49" fontId="5" fillId="0" borderId="0" xfId="0" applyNumberFormat="1" applyFont="1" applyFill="1" applyBorder="1" applyAlignment="1">
      <alignment horizontal="left"/>
    </xf>
    <xf numFmtId="49" fontId="0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 indent="1"/>
    </xf>
    <xf numFmtId="49" fontId="8" fillId="0" borderId="0" xfId="0" applyNumberFormat="1" applyFont="1" applyFill="1" applyBorder="1" applyAlignment="1">
      <alignment horizontal="left"/>
    </xf>
    <xf numFmtId="49" fontId="2" fillId="0" borderId="11" xfId="0" applyNumberFormat="1" applyFont="1" applyFill="1" applyBorder="1" applyAlignment="1">
      <alignment horizontal="center" vertical="center"/>
    </xf>
    <xf numFmtId="0" fontId="2" fillId="0" borderId="11" xfId="0" applyNumberFormat="1" applyFont="1" applyFill="1" applyBorder="1" applyAlignment="1">
      <alignment horizontal="center" vertical="center"/>
    </xf>
    <xf numFmtId="164" fontId="0" fillId="0" borderId="0" xfId="0" applyNumberFormat="1" applyFont="1" applyFill="1" applyBorder="1" applyAlignment="1">
      <alignment horizontal="left"/>
    </xf>
    <xf numFmtId="165" fontId="1" fillId="0" borderId="0" xfId="0" applyNumberFormat="1" applyFont="1" applyFill="1" applyBorder="1" applyAlignment="1">
      <alignment horizontal="left"/>
    </xf>
    <xf numFmtId="49" fontId="2" fillId="0" borderId="8" xfId="0" applyNumberFormat="1" applyFont="1" applyFill="1" applyBorder="1" applyAlignment="1">
      <alignment horizontal="center" vertical="center"/>
    </xf>
    <xf numFmtId="0" fontId="2" fillId="0" borderId="8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49" fontId="2" fillId="0" borderId="3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3" xfId="0" applyNumberFormat="1" applyFont="1" applyFill="1" applyBorder="1" applyAlignment="1">
      <alignment horizontal="center" vertical="center"/>
    </xf>
    <xf numFmtId="49" fontId="2" fillId="0" borderId="7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49" fontId="2" fillId="0" borderId="8" xfId="0" applyNumberFormat="1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5" fillId="0" borderId="10" xfId="0" applyNumberFormat="1" applyFont="1" applyFill="1" applyBorder="1" applyAlignment="1">
      <alignment horizontal="center"/>
    </xf>
    <xf numFmtId="0" fontId="5" fillId="0" borderId="10" xfId="0" applyFont="1" applyBorder="1" applyAlignment="1">
      <alignment horizontal="center"/>
    </xf>
    <xf numFmtId="49" fontId="3" fillId="0" borderId="5" xfId="0" applyNumberFormat="1" applyFont="1" applyFill="1" applyBorder="1" applyAlignment="1">
      <alignment horizontal="center" vertical="center" wrapText="1"/>
    </xf>
    <xf numFmtId="49" fontId="5" fillId="0" borderId="0" xfId="0" applyNumberFormat="1" applyFont="1" applyFill="1" applyBorder="1" applyAlignment="1">
      <alignment horizontal="center"/>
    </xf>
    <xf numFmtId="0" fontId="5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0"/>
  <sheetViews>
    <sheetView tabSelected="1"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7" bestFit="1" customWidth="1"/>
    <col min="16" max="16" width="8.5703125" style="8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1" t="s">
        <v>275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129</v>
      </c>
      <c r="L3" s="45"/>
      <c r="M3" s="45"/>
      <c r="N3" s="45"/>
      <c r="O3" s="46" t="s">
        <v>1</v>
      </c>
      <c r="P3" s="46" t="s">
        <v>3</v>
      </c>
      <c r="Q3" s="48" t="s">
        <v>2</v>
      </c>
    </row>
    <row r="4" spans="1:17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47"/>
      <c r="P4" s="47"/>
      <c r="Q4" s="49"/>
    </row>
    <row r="5" spans="1:17" ht="15" x14ac:dyDescent="0.2">
      <c r="A5" s="59" t="s">
        <v>216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 x14ac:dyDescent="0.2">
      <c r="A6" s="11" t="s">
        <v>255</v>
      </c>
      <c r="B6" s="11" t="s">
        <v>256</v>
      </c>
      <c r="C6" s="11" t="s">
        <v>257</v>
      </c>
      <c r="D6" s="12" t="str">
        <f>"0,5500"</f>
        <v>0,5500</v>
      </c>
      <c r="E6" s="11" t="s">
        <v>19</v>
      </c>
      <c r="F6" s="11" t="s">
        <v>47</v>
      </c>
      <c r="G6" s="14" t="s">
        <v>40</v>
      </c>
      <c r="H6" s="14" t="s">
        <v>64</v>
      </c>
      <c r="I6" s="13" t="s">
        <v>124</v>
      </c>
      <c r="J6" s="13"/>
      <c r="K6" s="14" t="s">
        <v>213</v>
      </c>
      <c r="L6" s="14" t="s">
        <v>258</v>
      </c>
      <c r="M6" s="13" t="s">
        <v>196</v>
      </c>
      <c r="N6" s="13"/>
      <c r="O6" s="15" t="str">
        <f>"387,5"</f>
        <v>387,5</v>
      </c>
      <c r="P6" s="16" t="str">
        <f>"213,1250"</f>
        <v>213,1250</v>
      </c>
      <c r="Q6" s="11" t="s">
        <v>23</v>
      </c>
    </row>
    <row r="8" spans="1:17" ht="15" x14ac:dyDescent="0.2">
      <c r="E8" s="35" t="s">
        <v>83</v>
      </c>
    </row>
    <row r="9" spans="1:17" ht="15" x14ac:dyDescent="0.2">
      <c r="E9" s="35" t="s">
        <v>84</v>
      </c>
    </row>
    <row r="10" spans="1:17" ht="15" x14ac:dyDescent="0.2">
      <c r="E10" s="35" t="s">
        <v>85</v>
      </c>
    </row>
    <row r="11" spans="1:17" ht="15" x14ac:dyDescent="0.2">
      <c r="E11" s="35" t="s">
        <v>86</v>
      </c>
    </row>
    <row r="12" spans="1:17" ht="15" x14ac:dyDescent="0.2">
      <c r="E12" s="35" t="s">
        <v>86</v>
      </c>
    </row>
    <row r="13" spans="1:17" ht="15" x14ac:dyDescent="0.2">
      <c r="E13" s="35" t="s">
        <v>87</v>
      </c>
    </row>
    <row r="14" spans="1:17" ht="15" x14ac:dyDescent="0.2">
      <c r="E14" s="35"/>
    </row>
    <row r="16" spans="1:17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94</v>
      </c>
      <c r="E19" s="41" t="s">
        <v>96</v>
      </c>
    </row>
    <row r="20" spans="1:5" x14ac:dyDescent="0.2">
      <c r="A20" s="38" t="s">
        <v>254</v>
      </c>
      <c r="B20" s="4" t="s">
        <v>105</v>
      </c>
      <c r="C20" s="4" t="s">
        <v>246</v>
      </c>
      <c r="D20" s="43">
        <v>387.5</v>
      </c>
      <c r="E20" s="44">
        <v>213.12500461936</v>
      </c>
    </row>
  </sheetData>
  <mergeCells count="13"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9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29.7109375" style="4" bestFit="1" customWidth="1"/>
    <col min="7" max="9" width="4.5703125" style="3" customWidth="1"/>
    <col min="10" max="10" width="4.85546875" style="3" customWidth="1"/>
    <col min="11" max="13" width="4.5703125" style="3" customWidth="1"/>
    <col min="14" max="14" width="4.85546875" style="3" customWidth="1"/>
    <col min="15" max="15" width="7.85546875" style="7" bestFit="1" customWidth="1"/>
    <col min="16" max="16" width="8.5703125" style="8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1" t="s">
        <v>299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298</v>
      </c>
      <c r="H3" s="45"/>
      <c r="I3" s="45"/>
      <c r="J3" s="45"/>
      <c r="K3" s="45" t="s">
        <v>297</v>
      </c>
      <c r="L3" s="45"/>
      <c r="M3" s="45"/>
      <c r="N3" s="45"/>
      <c r="O3" s="46" t="s">
        <v>1</v>
      </c>
      <c r="P3" s="46" t="s">
        <v>3</v>
      </c>
      <c r="Q3" s="48" t="s">
        <v>2</v>
      </c>
    </row>
    <row r="4" spans="1:17" s="1" customFormat="1" ht="21" customHeight="1" thickBot="1" x14ac:dyDescent="0.25">
      <c r="A4" s="56"/>
      <c r="B4" s="58"/>
      <c r="C4" s="58"/>
      <c r="D4" s="47"/>
      <c r="E4" s="58"/>
      <c r="F4" s="58"/>
      <c r="G4" s="10">
        <v>1</v>
      </c>
      <c r="H4" s="10">
        <v>2</v>
      </c>
      <c r="I4" s="10">
        <v>3</v>
      </c>
      <c r="J4" s="10" t="s">
        <v>5</v>
      </c>
      <c r="K4" s="10">
        <v>1</v>
      </c>
      <c r="L4" s="10">
        <v>2</v>
      </c>
      <c r="M4" s="10">
        <v>3</v>
      </c>
      <c r="N4" s="10" t="s">
        <v>5</v>
      </c>
      <c r="O4" s="47"/>
      <c r="P4" s="47"/>
      <c r="Q4" s="49"/>
    </row>
    <row r="5" spans="1:17" ht="15" x14ac:dyDescent="0.2">
      <c r="A5" s="59" t="s">
        <v>150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 x14ac:dyDescent="0.2">
      <c r="A6" s="11" t="s">
        <v>296</v>
      </c>
      <c r="B6" s="11" t="s">
        <v>295</v>
      </c>
      <c r="C6" s="11" t="s">
        <v>294</v>
      </c>
      <c r="D6" s="12" t="str">
        <f>"0,9801"</f>
        <v>0,9801</v>
      </c>
      <c r="E6" s="11" t="s">
        <v>70</v>
      </c>
      <c r="F6" s="11" t="s">
        <v>47</v>
      </c>
      <c r="G6" s="14" t="s">
        <v>293</v>
      </c>
      <c r="H6" s="14" t="s">
        <v>292</v>
      </c>
      <c r="I6" s="13" t="s">
        <v>291</v>
      </c>
      <c r="J6" s="13"/>
      <c r="K6" s="14" t="s">
        <v>292</v>
      </c>
      <c r="L6" s="14" t="s">
        <v>291</v>
      </c>
      <c r="M6" s="13" t="s">
        <v>290</v>
      </c>
      <c r="N6" s="13"/>
      <c r="O6" s="15" t="str">
        <f>"72,5"</f>
        <v>72,5</v>
      </c>
      <c r="P6" s="16" t="str">
        <f>"71,0572"</f>
        <v>71,0572</v>
      </c>
      <c r="Q6" s="11" t="s">
        <v>289</v>
      </c>
    </row>
    <row r="8" spans="1:17" ht="15" x14ac:dyDescent="0.2">
      <c r="A8" s="62" t="s">
        <v>24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7" x14ac:dyDescent="0.2">
      <c r="A9" s="11" t="s">
        <v>288</v>
      </c>
      <c r="B9" s="11" t="s">
        <v>287</v>
      </c>
      <c r="C9" s="11" t="s">
        <v>286</v>
      </c>
      <c r="D9" s="12" t="str">
        <f>"0,6782"</f>
        <v>0,6782</v>
      </c>
      <c r="E9" s="11" t="s">
        <v>19</v>
      </c>
      <c r="F9" s="11" t="s">
        <v>47</v>
      </c>
      <c r="G9" s="14" t="s">
        <v>285</v>
      </c>
      <c r="H9" s="14" t="s">
        <v>135</v>
      </c>
      <c r="I9" s="14" t="s">
        <v>284</v>
      </c>
      <c r="J9" s="13"/>
      <c r="K9" s="14" t="s">
        <v>142</v>
      </c>
      <c r="L9" s="14" t="s">
        <v>143</v>
      </c>
      <c r="M9" s="14" t="s">
        <v>283</v>
      </c>
      <c r="N9" s="13"/>
      <c r="O9" s="15" t="str">
        <f>"150,0"</f>
        <v>150,0</v>
      </c>
      <c r="P9" s="16" t="str">
        <f>"101,7300"</f>
        <v>101,7300</v>
      </c>
      <c r="Q9" s="11" t="s">
        <v>23</v>
      </c>
    </row>
    <row r="11" spans="1:17" ht="15" x14ac:dyDescent="0.2">
      <c r="E11" s="35" t="s">
        <v>83</v>
      </c>
    </row>
    <row r="12" spans="1:17" ht="15" x14ac:dyDescent="0.2">
      <c r="E12" s="35" t="s">
        <v>84</v>
      </c>
    </row>
    <row r="13" spans="1:17" ht="15" x14ac:dyDescent="0.2">
      <c r="E13" s="35" t="s">
        <v>85</v>
      </c>
    </row>
    <row r="14" spans="1:17" ht="15" x14ac:dyDescent="0.2">
      <c r="E14" s="35" t="s">
        <v>86</v>
      </c>
    </row>
    <row r="15" spans="1:17" ht="15" x14ac:dyDescent="0.2">
      <c r="E15" s="35" t="s">
        <v>86</v>
      </c>
    </row>
    <row r="16" spans="1:17" ht="15" x14ac:dyDescent="0.2">
      <c r="E16" s="35" t="s">
        <v>87</v>
      </c>
    </row>
    <row r="17" spans="1:5" ht="15" x14ac:dyDescent="0.2">
      <c r="E17" s="35"/>
    </row>
    <row r="19" spans="1:5" ht="18" x14ac:dyDescent="0.25">
      <c r="A19" s="36" t="s">
        <v>88</v>
      </c>
      <c r="B19" s="36"/>
    </row>
    <row r="20" spans="1:5" ht="15" x14ac:dyDescent="0.2">
      <c r="A20" s="37" t="s">
        <v>236</v>
      </c>
      <c r="B20" s="37"/>
    </row>
    <row r="21" spans="1:5" ht="14.25" x14ac:dyDescent="0.2">
      <c r="A21" s="39"/>
      <c r="B21" s="40" t="s">
        <v>105</v>
      </c>
    </row>
    <row r="22" spans="1:5" ht="15" x14ac:dyDescent="0.2">
      <c r="A22" s="41" t="s">
        <v>91</v>
      </c>
      <c r="B22" s="41" t="s">
        <v>92</v>
      </c>
      <c r="C22" s="41" t="s">
        <v>93</v>
      </c>
      <c r="D22" s="42" t="s">
        <v>94</v>
      </c>
      <c r="E22" s="41" t="s">
        <v>96</v>
      </c>
    </row>
    <row r="23" spans="1:5" x14ac:dyDescent="0.2">
      <c r="A23" s="38" t="s">
        <v>282</v>
      </c>
      <c r="B23" s="4" t="s">
        <v>105</v>
      </c>
      <c r="C23" s="4" t="s">
        <v>239</v>
      </c>
      <c r="D23" s="43">
        <v>72.5</v>
      </c>
      <c r="E23" s="44">
        <v>71.057248264551205</v>
      </c>
    </row>
    <row r="26" spans="1:5" ht="15" x14ac:dyDescent="0.2">
      <c r="A26" s="37" t="s">
        <v>89</v>
      </c>
      <c r="B26" s="37"/>
    </row>
    <row r="27" spans="1:5" ht="14.25" x14ac:dyDescent="0.2">
      <c r="A27" s="39"/>
      <c r="B27" s="40" t="s">
        <v>105</v>
      </c>
    </row>
    <row r="28" spans="1:5" ht="15" x14ac:dyDescent="0.2">
      <c r="A28" s="41" t="s">
        <v>91</v>
      </c>
      <c r="B28" s="41" t="s">
        <v>92</v>
      </c>
      <c r="C28" s="41" t="s">
        <v>93</v>
      </c>
      <c r="D28" s="42" t="s">
        <v>94</v>
      </c>
      <c r="E28" s="41" t="s">
        <v>96</v>
      </c>
    </row>
    <row r="29" spans="1:5" x14ac:dyDescent="0.2">
      <c r="A29" s="38" t="s">
        <v>281</v>
      </c>
      <c r="B29" s="4" t="s">
        <v>105</v>
      </c>
      <c r="C29" s="4" t="s">
        <v>100</v>
      </c>
      <c r="D29" s="43">
        <v>150</v>
      </c>
      <c r="E29" s="44">
        <v>101.730000972748</v>
      </c>
    </row>
  </sheetData>
  <mergeCells count="14">
    <mergeCell ref="A8:N8"/>
    <mergeCell ref="O3:O4"/>
    <mergeCell ref="P3:P4"/>
    <mergeCell ref="Q3:Q4"/>
    <mergeCell ref="A5:N5"/>
    <mergeCell ref="A1:Q2"/>
    <mergeCell ref="A3:A4"/>
    <mergeCell ref="B3:B4"/>
    <mergeCell ref="C3:C4"/>
    <mergeCell ref="D3:D4"/>
    <mergeCell ref="E3:E4"/>
    <mergeCell ref="F3:F4"/>
    <mergeCell ref="G3:J3"/>
    <mergeCell ref="K3:N3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4"/>
  <sheetViews>
    <sheetView workbookViewId="0">
      <selection activeCell="A32" sqref="A32:XFD3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.5703125" style="4" bestFit="1" customWidth="1"/>
    <col min="7" max="9" width="4.5703125" style="3" customWidth="1"/>
    <col min="10" max="10" width="4.85546875" style="3" customWidth="1"/>
    <col min="11" max="11" width="7.85546875" style="7" bestFit="1" customWidth="1"/>
    <col min="12" max="12" width="7.5703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323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297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10">
        <v>1</v>
      </c>
      <c r="H4" s="10">
        <v>2</v>
      </c>
      <c r="I4" s="10">
        <v>3</v>
      </c>
      <c r="J4" s="10" t="s">
        <v>5</v>
      </c>
      <c r="K4" s="47"/>
      <c r="L4" s="47"/>
      <c r="M4" s="49"/>
    </row>
    <row r="5" spans="1:13" ht="15" x14ac:dyDescent="0.2">
      <c r="A5" s="59" t="s">
        <v>14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7" t="s">
        <v>322</v>
      </c>
      <c r="B6" s="17" t="s">
        <v>321</v>
      </c>
      <c r="C6" s="17" t="s">
        <v>320</v>
      </c>
      <c r="D6" s="18" t="str">
        <f>"0,7557"</f>
        <v>0,7557</v>
      </c>
      <c r="E6" s="17" t="s">
        <v>19</v>
      </c>
      <c r="F6" s="17" t="s">
        <v>20</v>
      </c>
      <c r="G6" s="20" t="s">
        <v>312</v>
      </c>
      <c r="H6" s="20" t="s">
        <v>315</v>
      </c>
      <c r="I6" s="19" t="s">
        <v>309</v>
      </c>
      <c r="J6" s="19"/>
      <c r="K6" s="21" t="str">
        <f>"50,0"</f>
        <v>50,0</v>
      </c>
      <c r="L6" s="22" t="str">
        <f>"42,6970"</f>
        <v>42,6970</v>
      </c>
      <c r="M6" s="17" t="s">
        <v>23</v>
      </c>
    </row>
    <row r="7" spans="1:13" x14ac:dyDescent="0.2">
      <c r="A7" s="23" t="s">
        <v>319</v>
      </c>
      <c r="B7" s="23" t="s">
        <v>318</v>
      </c>
      <c r="C7" s="23" t="s">
        <v>317</v>
      </c>
      <c r="D7" s="24" t="str">
        <f>"0,7535"</f>
        <v>0,7535</v>
      </c>
      <c r="E7" s="23" t="s">
        <v>19</v>
      </c>
      <c r="F7" s="23" t="s">
        <v>20</v>
      </c>
      <c r="G7" s="26" t="s">
        <v>312</v>
      </c>
      <c r="H7" s="26" t="s">
        <v>315</v>
      </c>
      <c r="I7" s="25" t="s">
        <v>142</v>
      </c>
      <c r="J7" s="25"/>
      <c r="K7" s="27" t="str">
        <f>"50,0"</f>
        <v>50,0</v>
      </c>
      <c r="L7" s="28" t="str">
        <f>"40,6890"</f>
        <v>40,6890</v>
      </c>
      <c r="M7" s="23" t="s">
        <v>23</v>
      </c>
    </row>
    <row r="8" spans="1:13" x14ac:dyDescent="0.2">
      <c r="A8" s="29" t="s">
        <v>16</v>
      </c>
      <c r="B8" s="29" t="s">
        <v>17</v>
      </c>
      <c r="C8" s="29" t="s">
        <v>316</v>
      </c>
      <c r="D8" s="30" t="str">
        <f>"0,7297"</f>
        <v>0,7297</v>
      </c>
      <c r="E8" s="29" t="s">
        <v>19</v>
      </c>
      <c r="F8" s="29" t="s">
        <v>20</v>
      </c>
      <c r="G8" s="32" t="s">
        <v>265</v>
      </c>
      <c r="H8" s="32" t="s">
        <v>315</v>
      </c>
      <c r="I8" s="31" t="s">
        <v>143</v>
      </c>
      <c r="J8" s="31"/>
      <c r="K8" s="33" t="str">
        <f>"50,0"</f>
        <v>50,0</v>
      </c>
      <c r="L8" s="34" t="str">
        <f>"36,8499"</f>
        <v>36,8499</v>
      </c>
      <c r="M8" s="29" t="s">
        <v>23</v>
      </c>
    </row>
    <row r="10" spans="1:13" ht="15" x14ac:dyDescent="0.2">
      <c r="A10" s="62" t="s">
        <v>24</v>
      </c>
      <c r="B10" s="63"/>
      <c r="C10" s="63"/>
      <c r="D10" s="63"/>
      <c r="E10" s="63"/>
      <c r="F10" s="63"/>
      <c r="G10" s="63"/>
      <c r="H10" s="63"/>
      <c r="I10" s="63"/>
      <c r="J10" s="63"/>
    </row>
    <row r="11" spans="1:13" x14ac:dyDescent="0.2">
      <c r="A11" s="17" t="s">
        <v>314</v>
      </c>
      <c r="B11" s="17" t="s">
        <v>313</v>
      </c>
      <c r="C11" s="17" t="s">
        <v>166</v>
      </c>
      <c r="D11" s="18" t="str">
        <f>"0,6752"</f>
        <v>0,6752</v>
      </c>
      <c r="E11" s="17" t="s">
        <v>19</v>
      </c>
      <c r="F11" s="17" t="s">
        <v>47</v>
      </c>
      <c r="G11" s="20" t="s">
        <v>312</v>
      </c>
      <c r="H11" s="20" t="s">
        <v>142</v>
      </c>
      <c r="I11" s="19" t="s">
        <v>143</v>
      </c>
      <c r="J11" s="19"/>
      <c r="K11" s="21" t="str">
        <f>"55,0"</f>
        <v>55,0</v>
      </c>
      <c r="L11" s="22" t="str">
        <f>"45,6773"</f>
        <v>45,6773</v>
      </c>
      <c r="M11" s="17" t="s">
        <v>23</v>
      </c>
    </row>
    <row r="12" spans="1:13" x14ac:dyDescent="0.2">
      <c r="A12" s="29" t="s">
        <v>159</v>
      </c>
      <c r="B12" s="29" t="s">
        <v>160</v>
      </c>
      <c r="C12" s="29" t="s">
        <v>161</v>
      </c>
      <c r="D12" s="30" t="str">
        <f>"0,6687"</f>
        <v>0,6687</v>
      </c>
      <c r="E12" s="29" t="s">
        <v>19</v>
      </c>
      <c r="F12" s="29" t="s">
        <v>20</v>
      </c>
      <c r="G12" s="32" t="s">
        <v>290</v>
      </c>
      <c r="H12" s="32" t="s">
        <v>265</v>
      </c>
      <c r="I12" s="31" t="s">
        <v>142</v>
      </c>
      <c r="J12" s="31"/>
      <c r="K12" s="33" t="str">
        <f>"47,5"</f>
        <v>47,5</v>
      </c>
      <c r="L12" s="34" t="str">
        <f>"34,3043"</f>
        <v>34,3043</v>
      </c>
      <c r="M12" s="29" t="s">
        <v>23</v>
      </c>
    </row>
    <row r="14" spans="1:13" ht="15" x14ac:dyDescent="0.2">
      <c r="A14" s="62" t="s">
        <v>33</v>
      </c>
      <c r="B14" s="63"/>
      <c r="C14" s="63"/>
      <c r="D14" s="63"/>
      <c r="E14" s="63"/>
      <c r="F14" s="63"/>
      <c r="G14" s="63"/>
      <c r="H14" s="63"/>
      <c r="I14" s="63"/>
      <c r="J14" s="63"/>
    </row>
    <row r="15" spans="1:13" x14ac:dyDescent="0.2">
      <c r="A15" s="11" t="s">
        <v>311</v>
      </c>
      <c r="B15" s="11" t="s">
        <v>310</v>
      </c>
      <c r="C15" s="11" t="s">
        <v>122</v>
      </c>
      <c r="D15" s="12" t="str">
        <f>"0,6295"</f>
        <v>0,6295</v>
      </c>
      <c r="E15" s="11" t="s">
        <v>19</v>
      </c>
      <c r="F15" s="11" t="s">
        <v>47</v>
      </c>
      <c r="G15" s="14" t="s">
        <v>265</v>
      </c>
      <c r="H15" s="14" t="s">
        <v>309</v>
      </c>
      <c r="I15" s="14" t="s">
        <v>266</v>
      </c>
      <c r="J15" s="13"/>
      <c r="K15" s="15" t="str">
        <f>"57,5"</f>
        <v>57,5</v>
      </c>
      <c r="L15" s="16" t="str">
        <f>"39,0919"</f>
        <v>39,0919</v>
      </c>
      <c r="M15" s="11" t="s">
        <v>23</v>
      </c>
    </row>
    <row r="17" spans="1:13" ht="15" x14ac:dyDescent="0.2">
      <c r="A17" s="62" t="s">
        <v>59</v>
      </c>
      <c r="B17" s="63"/>
      <c r="C17" s="63"/>
      <c r="D17" s="63"/>
      <c r="E17" s="63"/>
      <c r="F17" s="63"/>
      <c r="G17" s="63"/>
      <c r="H17" s="63"/>
      <c r="I17" s="63"/>
      <c r="J17" s="63"/>
    </row>
    <row r="18" spans="1:13" x14ac:dyDescent="0.2">
      <c r="A18" s="11" t="s">
        <v>308</v>
      </c>
      <c r="B18" s="11" t="s">
        <v>307</v>
      </c>
      <c r="C18" s="11" t="s">
        <v>306</v>
      </c>
      <c r="D18" s="12" t="str">
        <f>"0,5857"</f>
        <v>0,5857</v>
      </c>
      <c r="E18" s="11" t="s">
        <v>19</v>
      </c>
      <c r="F18" s="11" t="s">
        <v>47</v>
      </c>
      <c r="G18" s="13" t="s">
        <v>143</v>
      </c>
      <c r="H18" s="13" t="s">
        <v>143</v>
      </c>
      <c r="I18" s="14" t="s">
        <v>143</v>
      </c>
      <c r="J18" s="13"/>
      <c r="K18" s="15" t="str">
        <f>"60,0"</f>
        <v>60,0</v>
      </c>
      <c r="L18" s="16" t="str">
        <f>"35,1420"</f>
        <v>35,1420</v>
      </c>
      <c r="M18" s="11" t="s">
        <v>23</v>
      </c>
    </row>
    <row r="20" spans="1:13" ht="15" x14ac:dyDescent="0.2">
      <c r="E20" s="35" t="s">
        <v>83</v>
      </c>
    </row>
    <row r="21" spans="1:13" ht="15" x14ac:dyDescent="0.2">
      <c r="E21" s="35" t="s">
        <v>84</v>
      </c>
    </row>
    <row r="22" spans="1:13" ht="15" x14ac:dyDescent="0.2">
      <c r="E22" s="35" t="s">
        <v>85</v>
      </c>
    </row>
    <row r="23" spans="1:13" ht="15" x14ac:dyDescent="0.2">
      <c r="E23" s="35" t="s">
        <v>86</v>
      </c>
    </row>
    <row r="24" spans="1:13" ht="15" x14ac:dyDescent="0.2">
      <c r="E24" s="35" t="s">
        <v>86</v>
      </c>
    </row>
    <row r="25" spans="1:13" ht="15" x14ac:dyDescent="0.2">
      <c r="E25" s="35" t="s">
        <v>87</v>
      </c>
    </row>
    <row r="26" spans="1:13" ht="15" x14ac:dyDescent="0.2">
      <c r="E26" s="35"/>
    </row>
    <row r="28" spans="1:13" ht="18" x14ac:dyDescent="0.25">
      <c r="A28" s="36" t="s">
        <v>88</v>
      </c>
      <c r="B28" s="36"/>
    </row>
    <row r="29" spans="1:13" ht="15" x14ac:dyDescent="0.2">
      <c r="A29" s="37" t="s">
        <v>89</v>
      </c>
      <c r="B29" s="37"/>
    </row>
    <row r="30" spans="1:13" ht="14.25" x14ac:dyDescent="0.2">
      <c r="A30" s="39"/>
      <c r="B30" s="40" t="s">
        <v>90</v>
      </c>
    </row>
    <row r="31" spans="1:13" ht="15" x14ac:dyDescent="0.2">
      <c r="A31" s="41" t="s">
        <v>91</v>
      </c>
      <c r="B31" s="41" t="s">
        <v>92</v>
      </c>
      <c r="C31" s="41" t="s">
        <v>93</v>
      </c>
      <c r="D31" s="42" t="s">
        <v>95</v>
      </c>
      <c r="E31" s="41" t="s">
        <v>96</v>
      </c>
    </row>
    <row r="32" spans="1:13" x14ac:dyDescent="0.2">
      <c r="A32" s="38" t="s">
        <v>305</v>
      </c>
      <c r="B32" s="4" t="s">
        <v>304</v>
      </c>
      <c r="C32" s="4" t="s">
        <v>100</v>
      </c>
      <c r="D32" s="43">
        <v>55</v>
      </c>
      <c r="E32" s="44">
        <v>45.677279019355801</v>
      </c>
    </row>
    <row r="33" spans="1:5" x14ac:dyDescent="0.2">
      <c r="A33" s="38" t="s">
        <v>303</v>
      </c>
      <c r="B33" s="4" t="s">
        <v>241</v>
      </c>
      <c r="C33" s="4" t="s">
        <v>104</v>
      </c>
      <c r="D33" s="43">
        <v>50</v>
      </c>
      <c r="E33" s="44">
        <v>42.697049558162703</v>
      </c>
    </row>
    <row r="34" spans="1:5" x14ac:dyDescent="0.2">
      <c r="A34" s="38" t="s">
        <v>302</v>
      </c>
      <c r="B34" s="4" t="s">
        <v>241</v>
      </c>
      <c r="C34" s="4" t="s">
        <v>104</v>
      </c>
      <c r="D34" s="43">
        <v>50</v>
      </c>
      <c r="E34" s="44">
        <v>40.688999176025398</v>
      </c>
    </row>
    <row r="35" spans="1:5" x14ac:dyDescent="0.2">
      <c r="A35" s="38" t="s">
        <v>301</v>
      </c>
      <c r="B35" s="4" t="s">
        <v>241</v>
      </c>
      <c r="C35" s="4" t="s">
        <v>98</v>
      </c>
      <c r="D35" s="43">
        <v>57.5</v>
      </c>
      <c r="E35" s="44">
        <v>39.091948252916303</v>
      </c>
    </row>
    <row r="36" spans="1:5" x14ac:dyDescent="0.2">
      <c r="A36" s="38" t="s">
        <v>158</v>
      </c>
      <c r="B36" s="4" t="s">
        <v>241</v>
      </c>
      <c r="C36" s="4" t="s">
        <v>100</v>
      </c>
      <c r="D36" s="43">
        <v>47.5</v>
      </c>
      <c r="E36" s="44">
        <v>34.304308962821999</v>
      </c>
    </row>
    <row r="38" spans="1:5" ht="14.25" x14ac:dyDescent="0.2">
      <c r="A38" s="39"/>
      <c r="B38" s="40" t="s">
        <v>101</v>
      </c>
    </row>
    <row r="39" spans="1:5" ht="15" x14ac:dyDescent="0.2">
      <c r="A39" s="41" t="s">
        <v>91</v>
      </c>
      <c r="B39" s="41" t="s">
        <v>92</v>
      </c>
      <c r="C39" s="41" t="s">
        <v>93</v>
      </c>
      <c r="D39" s="42" t="s">
        <v>95</v>
      </c>
      <c r="E39" s="41" t="s">
        <v>96</v>
      </c>
    </row>
    <row r="40" spans="1:5" x14ac:dyDescent="0.2">
      <c r="A40" s="38" t="s">
        <v>15</v>
      </c>
      <c r="B40" s="4" t="s">
        <v>102</v>
      </c>
      <c r="C40" s="4" t="s">
        <v>104</v>
      </c>
      <c r="D40" s="43">
        <v>50</v>
      </c>
      <c r="E40" s="44">
        <v>36.849851459264798</v>
      </c>
    </row>
    <row r="42" spans="1:5" ht="14.25" x14ac:dyDescent="0.2">
      <c r="A42" s="39"/>
      <c r="B42" s="40" t="s">
        <v>105</v>
      </c>
    </row>
    <row r="43" spans="1:5" ht="15" x14ac:dyDescent="0.2">
      <c r="A43" s="41" t="s">
        <v>91</v>
      </c>
      <c r="B43" s="41" t="s">
        <v>92</v>
      </c>
      <c r="C43" s="41" t="s">
        <v>93</v>
      </c>
      <c r="D43" s="42" t="s">
        <v>95</v>
      </c>
      <c r="E43" s="41" t="s">
        <v>96</v>
      </c>
    </row>
    <row r="44" spans="1:5" x14ac:dyDescent="0.2">
      <c r="A44" s="38" t="s">
        <v>300</v>
      </c>
      <c r="B44" s="4" t="s">
        <v>105</v>
      </c>
      <c r="C44" s="4" t="s">
        <v>107</v>
      </c>
      <c r="D44" s="43">
        <v>60</v>
      </c>
      <c r="E44" s="44">
        <v>35.141998529434197</v>
      </c>
    </row>
  </sheetData>
  <mergeCells count="15">
    <mergeCell ref="A10:J10"/>
    <mergeCell ref="A14:J14"/>
    <mergeCell ref="A17:J17"/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  <pageSetup paperSize="9" scale="74" fitToHeight="0" orientation="landscape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7.855468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7.5703125" style="8" bestFit="1" customWidth="1"/>
    <col min="13" max="13" width="12.140625" style="4" bestFit="1" customWidth="1"/>
    <col min="14" max="16384" width="9.140625" style="3"/>
  </cols>
  <sheetData>
    <row r="1" spans="1:13" s="2" customFormat="1" ht="29.1" customHeight="1" x14ac:dyDescent="0.2">
      <c r="A1" s="61" t="s">
        <v>331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298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10">
        <v>1</v>
      </c>
      <c r="H4" s="10">
        <v>2</v>
      </c>
      <c r="I4" s="10">
        <v>3</v>
      </c>
      <c r="J4" s="10" t="s">
        <v>5</v>
      </c>
      <c r="K4" s="47"/>
      <c r="L4" s="47"/>
      <c r="M4" s="49"/>
    </row>
    <row r="5" spans="1:13" ht="15" x14ac:dyDescent="0.2">
      <c r="A5" s="59" t="s">
        <v>59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1" t="s">
        <v>330</v>
      </c>
      <c r="B6" s="11" t="s">
        <v>329</v>
      </c>
      <c r="C6" s="11" t="s">
        <v>328</v>
      </c>
      <c r="D6" s="12" t="str">
        <f>"0,6041"</f>
        <v>0,6041</v>
      </c>
      <c r="E6" s="11" t="s">
        <v>327</v>
      </c>
      <c r="F6" s="11" t="s">
        <v>326</v>
      </c>
      <c r="G6" s="13" t="s">
        <v>48</v>
      </c>
      <c r="H6" s="14" t="s">
        <v>40</v>
      </c>
      <c r="I6" s="13" t="s">
        <v>50</v>
      </c>
      <c r="J6" s="13"/>
      <c r="K6" s="15" t="str">
        <f>"130,0"</f>
        <v>130,0</v>
      </c>
      <c r="L6" s="16" t="str">
        <f>"78,5330"</f>
        <v>78,5330</v>
      </c>
      <c r="M6" s="11" t="s">
        <v>325</v>
      </c>
    </row>
    <row r="8" spans="1:13" ht="15" x14ac:dyDescent="0.2">
      <c r="E8" s="35" t="s">
        <v>83</v>
      </c>
    </row>
    <row r="9" spans="1:13" ht="15" x14ac:dyDescent="0.2">
      <c r="E9" s="35" t="s">
        <v>84</v>
      </c>
    </row>
    <row r="10" spans="1:13" ht="15" x14ac:dyDescent="0.2">
      <c r="E10" s="35" t="s">
        <v>85</v>
      </c>
    </row>
    <row r="11" spans="1:13" ht="15" x14ac:dyDescent="0.2">
      <c r="E11" s="35" t="s">
        <v>86</v>
      </c>
    </row>
    <row r="12" spans="1:13" ht="15" x14ac:dyDescent="0.2">
      <c r="E12" s="35" t="s">
        <v>86</v>
      </c>
    </row>
    <row r="13" spans="1:13" ht="15" x14ac:dyDescent="0.2">
      <c r="E13" s="35" t="s">
        <v>87</v>
      </c>
    </row>
    <row r="14" spans="1:13" ht="15" x14ac:dyDescent="0.2">
      <c r="E14" s="35"/>
    </row>
    <row r="16" spans="1:13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96</v>
      </c>
    </row>
    <row r="20" spans="1:5" x14ac:dyDescent="0.2">
      <c r="A20" s="38" t="s">
        <v>324</v>
      </c>
      <c r="B20" s="4" t="s">
        <v>105</v>
      </c>
      <c r="C20" s="4" t="s">
        <v>107</v>
      </c>
      <c r="D20" s="43">
        <v>130</v>
      </c>
      <c r="E20" s="44">
        <v>78.532998561859102</v>
      </c>
    </row>
  </sheetData>
  <mergeCells count="12">
    <mergeCell ref="F3:F4"/>
    <mergeCell ref="E3:E4"/>
    <mergeCell ref="A5:J5"/>
    <mergeCell ref="D3:D4"/>
    <mergeCell ref="K3:K4"/>
    <mergeCell ref="L3:L4"/>
    <mergeCell ref="A1:M2"/>
    <mergeCell ref="G3:J3"/>
    <mergeCell ref="A3:A4"/>
    <mergeCell ref="B3:B4"/>
    <mergeCell ref="C3:C4"/>
    <mergeCell ref="M3:M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0.140625" style="4" bestFit="1" customWidth="1"/>
    <col min="7" max="7" width="5.5703125" style="3" customWidth="1"/>
    <col min="8" max="8" width="10.42578125" style="3" customWidth="1"/>
    <col min="9" max="9" width="7.85546875" style="7" bestFit="1" customWidth="1"/>
    <col min="10" max="10" width="7.5703125" style="8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61" t="s">
        <v>342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341</v>
      </c>
      <c r="E3" s="45" t="s">
        <v>4</v>
      </c>
      <c r="F3" s="45" t="s">
        <v>7</v>
      </c>
      <c r="G3" s="45" t="s">
        <v>340</v>
      </c>
      <c r="H3" s="45"/>
      <c r="I3" s="46" t="s">
        <v>110</v>
      </c>
      <c r="J3" s="46" t="s">
        <v>3</v>
      </c>
      <c r="K3" s="48" t="s">
        <v>2</v>
      </c>
    </row>
    <row r="4" spans="1:11" s="1" customFormat="1" ht="21" customHeight="1" thickBot="1" x14ac:dyDescent="0.25">
      <c r="A4" s="56"/>
      <c r="B4" s="58"/>
      <c r="C4" s="58"/>
      <c r="D4" s="47"/>
      <c r="E4" s="58"/>
      <c r="F4" s="58"/>
      <c r="G4" s="10" t="s">
        <v>8</v>
      </c>
      <c r="H4" s="10" t="s">
        <v>9</v>
      </c>
      <c r="I4" s="47"/>
      <c r="J4" s="47"/>
      <c r="K4" s="49"/>
    </row>
    <row r="5" spans="1:11" ht="15" x14ac:dyDescent="0.2">
      <c r="A5" s="59" t="s">
        <v>339</v>
      </c>
      <c r="B5" s="60"/>
      <c r="C5" s="60"/>
      <c r="D5" s="60"/>
      <c r="E5" s="60"/>
      <c r="F5" s="60"/>
      <c r="G5" s="60"/>
      <c r="H5" s="60"/>
    </row>
    <row r="6" spans="1:11" x14ac:dyDescent="0.2">
      <c r="A6" s="11" t="s">
        <v>338</v>
      </c>
      <c r="B6" s="11" t="s">
        <v>337</v>
      </c>
      <c r="C6" s="11" t="s">
        <v>336</v>
      </c>
      <c r="D6" s="12" t="str">
        <f>"1,0000"</f>
        <v>1,0000</v>
      </c>
      <c r="E6" s="11" t="s">
        <v>19</v>
      </c>
      <c r="F6" s="11" t="s">
        <v>272</v>
      </c>
      <c r="G6" s="14" t="s">
        <v>171</v>
      </c>
      <c r="H6" s="14" t="s">
        <v>335</v>
      </c>
      <c r="I6" s="15" t="str">
        <f>"2400,0"</f>
        <v>2400,0</v>
      </c>
      <c r="J6" s="16" t="str">
        <f>"28,3687"</f>
        <v>28,3687</v>
      </c>
      <c r="K6" s="11" t="s">
        <v>23</v>
      </c>
    </row>
    <row r="8" spans="1:11" ht="15" x14ac:dyDescent="0.2">
      <c r="E8" s="35" t="s">
        <v>83</v>
      </c>
    </row>
    <row r="9" spans="1:11" ht="15" x14ac:dyDescent="0.2">
      <c r="E9" s="35" t="s">
        <v>84</v>
      </c>
    </row>
    <row r="10" spans="1:11" ht="15" x14ac:dyDescent="0.2">
      <c r="E10" s="35" t="s">
        <v>85</v>
      </c>
    </row>
    <row r="11" spans="1:11" ht="15" x14ac:dyDescent="0.2">
      <c r="E11" s="35" t="s">
        <v>86</v>
      </c>
    </row>
    <row r="12" spans="1:11" ht="15" x14ac:dyDescent="0.2">
      <c r="E12" s="35" t="s">
        <v>86</v>
      </c>
    </row>
    <row r="13" spans="1:11" ht="15" x14ac:dyDescent="0.2">
      <c r="E13" s="35" t="s">
        <v>87</v>
      </c>
    </row>
    <row r="14" spans="1:11" ht="15" x14ac:dyDescent="0.2">
      <c r="E14" s="35"/>
    </row>
    <row r="16" spans="1:11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334</v>
      </c>
    </row>
    <row r="20" spans="1:5" x14ac:dyDescent="0.2">
      <c r="A20" s="38" t="s">
        <v>333</v>
      </c>
      <c r="B20" s="4" t="s">
        <v>105</v>
      </c>
      <c r="C20" s="4" t="s">
        <v>332</v>
      </c>
      <c r="D20" s="43">
        <v>2400</v>
      </c>
      <c r="E20" s="44">
        <v>28.3687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2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7" width="5.5703125" style="3" customWidth="1"/>
    <col min="8" max="8" width="10.42578125" style="3" customWidth="1"/>
    <col min="9" max="9" width="7.85546875" style="7" bestFit="1" customWidth="1"/>
    <col min="10" max="10" width="8.5703125" style="8" bestFit="1" customWidth="1"/>
    <col min="11" max="11" width="27.5703125" style="4" bestFit="1" customWidth="1"/>
    <col min="12" max="16384" width="9.140625" style="3"/>
  </cols>
  <sheetData>
    <row r="1" spans="1:11" s="2" customFormat="1" ht="29.1" customHeight="1" x14ac:dyDescent="0.2">
      <c r="A1" s="61" t="s">
        <v>356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341</v>
      </c>
      <c r="E3" s="45" t="s">
        <v>4</v>
      </c>
      <c r="F3" s="45" t="s">
        <v>7</v>
      </c>
      <c r="G3" s="45" t="s">
        <v>340</v>
      </c>
      <c r="H3" s="45"/>
      <c r="I3" s="46" t="s">
        <v>110</v>
      </c>
      <c r="J3" s="46" t="s">
        <v>3</v>
      </c>
      <c r="K3" s="48" t="s">
        <v>2</v>
      </c>
    </row>
    <row r="4" spans="1:11" s="1" customFormat="1" ht="21" customHeight="1" thickBot="1" x14ac:dyDescent="0.25">
      <c r="A4" s="56"/>
      <c r="B4" s="58"/>
      <c r="C4" s="58"/>
      <c r="D4" s="47"/>
      <c r="E4" s="58"/>
      <c r="F4" s="58"/>
      <c r="G4" s="10" t="s">
        <v>8</v>
      </c>
      <c r="H4" s="10" t="s">
        <v>9</v>
      </c>
      <c r="I4" s="47"/>
      <c r="J4" s="47"/>
      <c r="K4" s="49"/>
    </row>
    <row r="5" spans="1:11" ht="15" x14ac:dyDescent="0.2">
      <c r="A5" s="59" t="s">
        <v>339</v>
      </c>
      <c r="B5" s="60"/>
      <c r="C5" s="60"/>
      <c r="D5" s="60"/>
      <c r="E5" s="60"/>
      <c r="F5" s="60"/>
      <c r="G5" s="60"/>
      <c r="H5" s="60"/>
    </row>
    <row r="6" spans="1:11" x14ac:dyDescent="0.2">
      <c r="A6" s="17" t="s">
        <v>355</v>
      </c>
      <c r="B6" s="17" t="s">
        <v>354</v>
      </c>
      <c r="C6" s="17" t="s">
        <v>353</v>
      </c>
      <c r="D6" s="18" t="str">
        <f>"1,0000"</f>
        <v>1,0000</v>
      </c>
      <c r="E6" s="17" t="s">
        <v>170</v>
      </c>
      <c r="F6" s="17" t="s">
        <v>156</v>
      </c>
      <c r="G6" s="20" t="s">
        <v>57</v>
      </c>
      <c r="H6" s="20" t="s">
        <v>352</v>
      </c>
      <c r="I6" s="21" t="str">
        <f>"2500,0"</f>
        <v>2500,0</v>
      </c>
      <c r="J6" s="22" t="str">
        <f>"37,5375"</f>
        <v>37,5375</v>
      </c>
      <c r="K6" s="17" t="s">
        <v>351</v>
      </c>
    </row>
    <row r="7" spans="1:11" x14ac:dyDescent="0.2">
      <c r="A7" s="23" t="s">
        <v>16</v>
      </c>
      <c r="B7" s="23" t="s">
        <v>17</v>
      </c>
      <c r="C7" s="23" t="s">
        <v>316</v>
      </c>
      <c r="D7" s="24" t="str">
        <f>"1,0000"</f>
        <v>1,0000</v>
      </c>
      <c r="E7" s="23" t="s">
        <v>19</v>
      </c>
      <c r="F7" s="23" t="s">
        <v>20</v>
      </c>
      <c r="G7" s="26" t="s">
        <v>57</v>
      </c>
      <c r="H7" s="26" t="s">
        <v>350</v>
      </c>
      <c r="I7" s="27" t="str">
        <f>"1500,0"</f>
        <v>1500,0</v>
      </c>
      <c r="J7" s="28" t="str">
        <f>"22,3546"</f>
        <v>22,3546</v>
      </c>
      <c r="K7" s="23" t="s">
        <v>23</v>
      </c>
    </row>
    <row r="8" spans="1:11" x14ac:dyDescent="0.2">
      <c r="A8" s="23" t="s">
        <v>349</v>
      </c>
      <c r="B8" s="23" t="s">
        <v>168</v>
      </c>
      <c r="C8" s="23" t="s">
        <v>348</v>
      </c>
      <c r="D8" s="24" t="str">
        <f>"1,0000"</f>
        <v>1,0000</v>
      </c>
      <c r="E8" s="23" t="s">
        <v>170</v>
      </c>
      <c r="F8" s="23" t="s">
        <v>156</v>
      </c>
      <c r="G8" s="26" t="s">
        <v>57</v>
      </c>
      <c r="H8" s="26" t="s">
        <v>285</v>
      </c>
      <c r="I8" s="27" t="str">
        <f>"7500,0"</f>
        <v>7500,0</v>
      </c>
      <c r="J8" s="28" t="str">
        <f>"100,0000"</f>
        <v>100,0000</v>
      </c>
      <c r="K8" s="23" t="s">
        <v>173</v>
      </c>
    </row>
    <row r="9" spans="1:11" x14ac:dyDescent="0.2">
      <c r="A9" s="29" t="s">
        <v>347</v>
      </c>
      <c r="B9" s="29" t="s">
        <v>346</v>
      </c>
      <c r="C9" s="29" t="s">
        <v>154</v>
      </c>
      <c r="D9" s="30" t="str">
        <f>"1,0000"</f>
        <v>1,0000</v>
      </c>
      <c r="E9" s="29" t="s">
        <v>155</v>
      </c>
      <c r="F9" s="29" t="s">
        <v>156</v>
      </c>
      <c r="G9" s="32" t="s">
        <v>57</v>
      </c>
      <c r="H9" s="32" t="s">
        <v>345</v>
      </c>
      <c r="I9" s="33" t="str">
        <f>"200,0"</f>
        <v>200,0</v>
      </c>
      <c r="J9" s="34" t="str">
        <f>"4,0000"</f>
        <v>4,0000</v>
      </c>
      <c r="K9" s="29" t="s">
        <v>157</v>
      </c>
    </row>
    <row r="11" spans="1:11" ht="15" x14ac:dyDescent="0.2">
      <c r="E11" s="35" t="s">
        <v>83</v>
      </c>
    </row>
    <row r="12" spans="1:11" ht="15" x14ac:dyDescent="0.2">
      <c r="E12" s="35" t="s">
        <v>84</v>
      </c>
    </row>
    <row r="13" spans="1:11" ht="15" x14ac:dyDescent="0.2">
      <c r="E13" s="35" t="s">
        <v>85</v>
      </c>
    </row>
    <row r="14" spans="1:11" ht="15" x14ac:dyDescent="0.2">
      <c r="E14" s="35" t="s">
        <v>86</v>
      </c>
    </row>
    <row r="15" spans="1:11" ht="15" x14ac:dyDescent="0.2">
      <c r="E15" s="35" t="s">
        <v>86</v>
      </c>
    </row>
    <row r="16" spans="1:11" ht="15" x14ac:dyDescent="0.2">
      <c r="E16" s="35" t="s">
        <v>87</v>
      </c>
    </row>
    <row r="17" spans="1:5" ht="15" x14ac:dyDescent="0.2">
      <c r="E17" s="35"/>
    </row>
    <row r="19" spans="1:5" ht="18" x14ac:dyDescent="0.25">
      <c r="A19" s="36" t="s">
        <v>88</v>
      </c>
      <c r="B19" s="36"/>
    </row>
    <row r="20" spans="1:5" ht="15" x14ac:dyDescent="0.2">
      <c r="A20" s="37" t="s">
        <v>89</v>
      </c>
      <c r="B20" s="37"/>
    </row>
    <row r="21" spans="1:5" ht="14.25" x14ac:dyDescent="0.2">
      <c r="A21" s="39"/>
      <c r="B21" s="40" t="s">
        <v>90</v>
      </c>
    </row>
    <row r="22" spans="1:5" ht="15" x14ac:dyDescent="0.2">
      <c r="A22" s="41" t="s">
        <v>91</v>
      </c>
      <c r="B22" s="41" t="s">
        <v>92</v>
      </c>
      <c r="C22" s="41" t="s">
        <v>93</v>
      </c>
      <c r="D22" s="42" t="s">
        <v>95</v>
      </c>
      <c r="E22" s="41" t="s">
        <v>334</v>
      </c>
    </row>
    <row r="23" spans="1:5" x14ac:dyDescent="0.2">
      <c r="A23" s="38" t="s">
        <v>344</v>
      </c>
      <c r="B23" s="4" t="s">
        <v>241</v>
      </c>
      <c r="C23" s="4" t="s">
        <v>332</v>
      </c>
      <c r="D23" s="43">
        <v>2500</v>
      </c>
      <c r="E23" s="44">
        <v>37.537500000000001</v>
      </c>
    </row>
    <row r="25" spans="1:5" ht="14.25" x14ac:dyDescent="0.2">
      <c r="A25" s="39"/>
      <c r="B25" s="40" t="s">
        <v>101</v>
      </c>
    </row>
    <row r="26" spans="1:5" ht="15" x14ac:dyDescent="0.2">
      <c r="A26" s="41" t="s">
        <v>91</v>
      </c>
      <c r="B26" s="41" t="s">
        <v>92</v>
      </c>
      <c r="C26" s="41" t="s">
        <v>93</v>
      </c>
      <c r="D26" s="42" t="s">
        <v>95</v>
      </c>
      <c r="E26" s="41" t="s">
        <v>334</v>
      </c>
    </row>
    <row r="27" spans="1:5" x14ac:dyDescent="0.2">
      <c r="A27" s="38" t="s">
        <v>15</v>
      </c>
      <c r="B27" s="4" t="s">
        <v>102</v>
      </c>
      <c r="C27" s="4" t="s">
        <v>332</v>
      </c>
      <c r="D27" s="43">
        <v>1500</v>
      </c>
      <c r="E27" s="44">
        <v>22.354600000000001</v>
      </c>
    </row>
    <row r="29" spans="1:5" ht="14.25" x14ac:dyDescent="0.2">
      <c r="A29" s="39"/>
      <c r="B29" s="40" t="s">
        <v>105</v>
      </c>
    </row>
    <row r="30" spans="1:5" ht="15" x14ac:dyDescent="0.2">
      <c r="A30" s="41" t="s">
        <v>91</v>
      </c>
      <c r="B30" s="41" t="s">
        <v>92</v>
      </c>
      <c r="C30" s="41" t="s">
        <v>93</v>
      </c>
      <c r="D30" s="42" t="s">
        <v>95</v>
      </c>
      <c r="E30" s="41" t="s">
        <v>334</v>
      </c>
    </row>
    <row r="31" spans="1:5" x14ac:dyDescent="0.2">
      <c r="A31" s="38" t="s">
        <v>343</v>
      </c>
      <c r="B31" s="4" t="s">
        <v>105</v>
      </c>
      <c r="C31" s="4" t="s">
        <v>332</v>
      </c>
      <c r="D31" s="43">
        <v>7500</v>
      </c>
      <c r="E31" s="44">
        <v>100</v>
      </c>
    </row>
    <row r="32" spans="1:5" x14ac:dyDescent="0.2">
      <c r="A32" s="38" t="s">
        <v>151</v>
      </c>
      <c r="B32" s="4" t="s">
        <v>105</v>
      </c>
      <c r="C32" s="4" t="s">
        <v>332</v>
      </c>
      <c r="D32" s="43">
        <v>200</v>
      </c>
      <c r="E32" s="44">
        <v>4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  <pageSetup paperSize="9" scale="68" fitToHeight="0"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7" width="5" style="3" customWidth="1"/>
    <col min="8" max="8" width="10.42578125" style="3" customWidth="1"/>
    <col min="9" max="9" width="7.85546875" style="7" bestFit="1" customWidth="1"/>
    <col min="10" max="10" width="7.5703125" style="8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61" t="s">
        <v>362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341</v>
      </c>
      <c r="E3" s="45" t="s">
        <v>4</v>
      </c>
      <c r="F3" s="45" t="s">
        <v>7</v>
      </c>
      <c r="G3" s="45" t="s">
        <v>340</v>
      </c>
      <c r="H3" s="45"/>
      <c r="I3" s="46" t="s">
        <v>110</v>
      </c>
      <c r="J3" s="46" t="s">
        <v>3</v>
      </c>
      <c r="K3" s="48" t="s">
        <v>2</v>
      </c>
    </row>
    <row r="4" spans="1:11" s="1" customFormat="1" ht="21" customHeight="1" thickBot="1" x14ac:dyDescent="0.25">
      <c r="A4" s="56"/>
      <c r="B4" s="58"/>
      <c r="C4" s="58"/>
      <c r="D4" s="47"/>
      <c r="E4" s="58"/>
      <c r="F4" s="58"/>
      <c r="G4" s="10" t="s">
        <v>8</v>
      </c>
      <c r="H4" s="10" t="s">
        <v>9</v>
      </c>
      <c r="I4" s="47"/>
      <c r="J4" s="47"/>
      <c r="K4" s="49"/>
    </row>
    <row r="5" spans="1:11" ht="15" x14ac:dyDescent="0.2">
      <c r="A5" s="59" t="s">
        <v>339</v>
      </c>
      <c r="B5" s="60"/>
      <c r="C5" s="60"/>
      <c r="D5" s="60"/>
      <c r="E5" s="60"/>
      <c r="F5" s="60"/>
      <c r="G5" s="60"/>
      <c r="H5" s="60"/>
    </row>
    <row r="6" spans="1:11" x14ac:dyDescent="0.2">
      <c r="A6" s="11" t="s">
        <v>361</v>
      </c>
      <c r="B6" s="11" t="s">
        <v>360</v>
      </c>
      <c r="C6" s="11" t="s">
        <v>359</v>
      </c>
      <c r="D6" s="12" t="str">
        <f>"1,0000"</f>
        <v>1,0000</v>
      </c>
      <c r="E6" s="11" t="s">
        <v>19</v>
      </c>
      <c r="F6" s="11" t="s">
        <v>47</v>
      </c>
      <c r="G6" s="14" t="s">
        <v>285</v>
      </c>
      <c r="H6" s="14" t="s">
        <v>358</v>
      </c>
      <c r="I6" s="15" t="str">
        <f>"2550,0"</f>
        <v>2550,0</v>
      </c>
      <c r="J6" s="16" t="str">
        <f>"45,7809"</f>
        <v>45,7809</v>
      </c>
      <c r="K6" s="11" t="s">
        <v>23</v>
      </c>
    </row>
    <row r="8" spans="1:11" ht="15" x14ac:dyDescent="0.2">
      <c r="E8" s="35" t="s">
        <v>83</v>
      </c>
    </row>
    <row r="9" spans="1:11" ht="15" x14ac:dyDescent="0.2">
      <c r="E9" s="35" t="s">
        <v>84</v>
      </c>
    </row>
    <row r="10" spans="1:11" ht="15" x14ac:dyDescent="0.2">
      <c r="E10" s="35" t="s">
        <v>85</v>
      </c>
    </row>
    <row r="11" spans="1:11" ht="15" x14ac:dyDescent="0.2">
      <c r="E11" s="35" t="s">
        <v>86</v>
      </c>
    </row>
    <row r="12" spans="1:11" ht="15" x14ac:dyDescent="0.2">
      <c r="E12" s="35" t="s">
        <v>86</v>
      </c>
    </row>
    <row r="13" spans="1:11" ht="15" x14ac:dyDescent="0.2">
      <c r="E13" s="35" t="s">
        <v>87</v>
      </c>
    </row>
    <row r="14" spans="1:11" ht="15" x14ac:dyDescent="0.2">
      <c r="E14" s="35"/>
    </row>
    <row r="16" spans="1:11" ht="18" x14ac:dyDescent="0.25">
      <c r="A16" s="36" t="s">
        <v>88</v>
      </c>
      <c r="B16" s="36"/>
    </row>
    <row r="17" spans="1:5" ht="15" x14ac:dyDescent="0.2">
      <c r="A17" s="37" t="s">
        <v>236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334</v>
      </c>
    </row>
    <row r="20" spans="1:5" x14ac:dyDescent="0.2">
      <c r="A20" s="38" t="s">
        <v>357</v>
      </c>
      <c r="B20" s="4" t="s">
        <v>105</v>
      </c>
      <c r="C20" s="4" t="s">
        <v>332</v>
      </c>
      <c r="D20" s="43">
        <v>2550</v>
      </c>
      <c r="E20" s="44">
        <v>45.780900000000003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20"/>
  <sheetViews>
    <sheetView workbookViewId="0">
      <selection sqref="A1:K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.5703125" style="4" bestFit="1" customWidth="1"/>
    <col min="7" max="7" width="5" style="3" customWidth="1"/>
    <col min="8" max="8" width="10.42578125" style="3" customWidth="1"/>
    <col min="9" max="9" width="7.85546875" style="7" bestFit="1" customWidth="1"/>
    <col min="10" max="10" width="7.5703125" style="8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61" t="s">
        <v>365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341</v>
      </c>
      <c r="E3" s="45" t="s">
        <v>4</v>
      </c>
      <c r="F3" s="45" t="s">
        <v>7</v>
      </c>
      <c r="G3" s="45" t="s">
        <v>364</v>
      </c>
      <c r="H3" s="45"/>
      <c r="I3" s="46" t="s">
        <v>110</v>
      </c>
      <c r="J3" s="46" t="s">
        <v>3</v>
      </c>
      <c r="K3" s="48" t="s">
        <v>2</v>
      </c>
    </row>
    <row r="4" spans="1:11" s="1" customFormat="1" ht="21" customHeight="1" thickBot="1" x14ac:dyDescent="0.25">
      <c r="A4" s="56"/>
      <c r="B4" s="58"/>
      <c r="C4" s="58"/>
      <c r="D4" s="47"/>
      <c r="E4" s="58"/>
      <c r="F4" s="58"/>
      <c r="G4" s="10" t="s">
        <v>8</v>
      </c>
      <c r="H4" s="10" t="s">
        <v>9</v>
      </c>
      <c r="I4" s="47"/>
      <c r="J4" s="47"/>
      <c r="K4" s="49"/>
    </row>
    <row r="5" spans="1:11" ht="15" x14ac:dyDescent="0.2">
      <c r="A5" s="59" t="s">
        <v>339</v>
      </c>
      <c r="B5" s="60"/>
      <c r="C5" s="60"/>
      <c r="D5" s="60"/>
      <c r="E5" s="60"/>
      <c r="F5" s="60"/>
      <c r="G5" s="60"/>
      <c r="H5" s="60"/>
    </row>
    <row r="6" spans="1:11" x14ac:dyDescent="0.2">
      <c r="A6" s="11" t="s">
        <v>16</v>
      </c>
      <c r="B6" s="11" t="s">
        <v>17</v>
      </c>
      <c r="C6" s="11" t="s">
        <v>316</v>
      </c>
      <c r="D6" s="12" t="str">
        <f>"1,0000"</f>
        <v>1,0000</v>
      </c>
      <c r="E6" s="11" t="s">
        <v>19</v>
      </c>
      <c r="F6" s="11" t="s">
        <v>20</v>
      </c>
      <c r="G6" s="14" t="s">
        <v>142</v>
      </c>
      <c r="H6" s="14" t="s">
        <v>363</v>
      </c>
      <c r="I6" s="15" t="str">
        <f>"1595,0"</f>
        <v>1595,0</v>
      </c>
      <c r="J6" s="16" t="str">
        <f>"23,7704"</f>
        <v>23,7704</v>
      </c>
      <c r="K6" s="11" t="s">
        <v>23</v>
      </c>
    </row>
    <row r="8" spans="1:11" ht="15" x14ac:dyDescent="0.2">
      <c r="E8" s="35" t="s">
        <v>83</v>
      </c>
    </row>
    <row r="9" spans="1:11" ht="15" x14ac:dyDescent="0.2">
      <c r="E9" s="35" t="s">
        <v>84</v>
      </c>
    </row>
    <row r="10" spans="1:11" ht="15" x14ac:dyDescent="0.2">
      <c r="E10" s="35" t="s">
        <v>85</v>
      </c>
    </row>
    <row r="11" spans="1:11" ht="15" x14ac:dyDescent="0.2">
      <c r="E11" s="35" t="s">
        <v>86</v>
      </c>
    </row>
    <row r="12" spans="1:11" ht="15" x14ac:dyDescent="0.2">
      <c r="E12" s="35" t="s">
        <v>86</v>
      </c>
    </row>
    <row r="13" spans="1:11" ht="15" x14ac:dyDescent="0.2">
      <c r="E13" s="35" t="s">
        <v>87</v>
      </c>
    </row>
    <row r="14" spans="1:11" ht="15" x14ac:dyDescent="0.2">
      <c r="E14" s="35"/>
    </row>
    <row r="16" spans="1:11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101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334</v>
      </c>
    </row>
    <row r="20" spans="1:5" x14ac:dyDescent="0.2">
      <c r="A20" s="38" t="s">
        <v>15</v>
      </c>
      <c r="B20" s="4" t="s">
        <v>102</v>
      </c>
      <c r="C20" s="4" t="s">
        <v>332</v>
      </c>
      <c r="D20" s="43">
        <v>1595</v>
      </c>
      <c r="E20" s="44">
        <v>23.770399999999999</v>
      </c>
    </row>
  </sheetData>
  <mergeCells count="12">
    <mergeCell ref="E3:E4"/>
    <mergeCell ref="G3:H3"/>
    <mergeCell ref="A5:H5"/>
    <mergeCell ref="D3:D4"/>
    <mergeCell ref="I3:I4"/>
    <mergeCell ref="J3:J4"/>
    <mergeCell ref="A1:K2"/>
    <mergeCell ref="A3:A4"/>
    <mergeCell ref="B3:B4"/>
    <mergeCell ref="C3:C4"/>
    <mergeCell ref="K3:K4"/>
    <mergeCell ref="F3:F4"/>
  </mergeCells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3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9.28515625" style="5" bestFit="1" customWidth="1"/>
    <col min="5" max="5" width="22.7109375" style="4" bestFit="1" customWidth="1"/>
    <col min="6" max="6" width="30.140625" style="4" bestFit="1" customWidth="1"/>
    <col min="7" max="9" width="5.5703125" style="3" customWidth="1"/>
    <col min="10" max="10" width="4.85546875" style="3" customWidth="1"/>
    <col min="11" max="13" width="5.5703125" style="3" customWidth="1"/>
    <col min="14" max="14" width="4.85546875" style="3" customWidth="1"/>
    <col min="15" max="15" width="7.85546875" style="7" bestFit="1" customWidth="1"/>
    <col min="16" max="16" width="8.5703125" style="8" bestFit="1" customWidth="1"/>
    <col min="17" max="17" width="8.85546875" style="4" bestFit="1" customWidth="1"/>
    <col min="18" max="16384" width="9.140625" style="3"/>
  </cols>
  <sheetData>
    <row r="1" spans="1:17" s="2" customFormat="1" ht="29.1" customHeight="1" x14ac:dyDescent="0.2">
      <c r="A1" s="61" t="s">
        <v>259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1"/>
    </row>
    <row r="2" spans="1:17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4"/>
    </row>
    <row r="3" spans="1:17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5" t="s">
        <v>129</v>
      </c>
      <c r="L3" s="45"/>
      <c r="M3" s="45"/>
      <c r="N3" s="45"/>
      <c r="O3" s="46" t="s">
        <v>1</v>
      </c>
      <c r="P3" s="46" t="s">
        <v>3</v>
      </c>
      <c r="Q3" s="48" t="s">
        <v>2</v>
      </c>
    </row>
    <row r="4" spans="1:17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9">
        <v>1</v>
      </c>
      <c r="L4" s="9">
        <v>2</v>
      </c>
      <c r="M4" s="9">
        <v>3</v>
      </c>
      <c r="N4" s="9" t="s">
        <v>5</v>
      </c>
      <c r="O4" s="47"/>
      <c r="P4" s="47"/>
      <c r="Q4" s="49"/>
    </row>
    <row r="5" spans="1:17" ht="15" x14ac:dyDescent="0.2">
      <c r="A5" s="59" t="s">
        <v>33</v>
      </c>
      <c r="B5" s="60"/>
      <c r="C5" s="60"/>
      <c r="D5" s="60"/>
      <c r="E5" s="60"/>
      <c r="F5" s="60"/>
      <c r="G5" s="60"/>
      <c r="H5" s="60"/>
      <c r="I5" s="60"/>
      <c r="J5" s="60"/>
      <c r="K5" s="60"/>
      <c r="L5" s="60"/>
      <c r="M5" s="60"/>
      <c r="N5" s="60"/>
    </row>
    <row r="6" spans="1:17" x14ac:dyDescent="0.2">
      <c r="A6" s="11" t="s">
        <v>139</v>
      </c>
      <c r="B6" s="11" t="s">
        <v>140</v>
      </c>
      <c r="C6" s="11" t="s">
        <v>141</v>
      </c>
      <c r="D6" s="12" t="str">
        <f>"0,6888"</f>
        <v>0,6888</v>
      </c>
      <c r="E6" s="11" t="s">
        <v>19</v>
      </c>
      <c r="F6" s="11" t="s">
        <v>47</v>
      </c>
      <c r="G6" s="14" t="s">
        <v>142</v>
      </c>
      <c r="H6" s="14" t="s">
        <v>143</v>
      </c>
      <c r="I6" s="14" t="s">
        <v>144</v>
      </c>
      <c r="J6" s="13"/>
      <c r="K6" s="14" t="s">
        <v>39</v>
      </c>
      <c r="L6" s="14" t="s">
        <v>31</v>
      </c>
      <c r="M6" s="14" t="s">
        <v>48</v>
      </c>
      <c r="N6" s="13"/>
      <c r="O6" s="15" t="str">
        <f>"187,5"</f>
        <v>187,5</v>
      </c>
      <c r="P6" s="16" t="str">
        <f>"130,3218"</f>
        <v>130,3218</v>
      </c>
      <c r="Q6" s="11" t="s">
        <v>23</v>
      </c>
    </row>
    <row r="8" spans="1:17" ht="15" x14ac:dyDescent="0.2">
      <c r="A8" s="62" t="s">
        <v>260</v>
      </c>
      <c r="B8" s="63"/>
      <c r="C8" s="63"/>
      <c r="D8" s="63"/>
      <c r="E8" s="63"/>
      <c r="F8" s="63"/>
      <c r="G8" s="63"/>
      <c r="H8" s="63"/>
      <c r="I8" s="63"/>
      <c r="J8" s="63"/>
      <c r="K8" s="63"/>
      <c r="L8" s="63"/>
      <c r="M8" s="63"/>
      <c r="N8" s="63"/>
    </row>
    <row r="9" spans="1:17" x14ac:dyDescent="0.2">
      <c r="A9" s="11" t="s">
        <v>262</v>
      </c>
      <c r="B9" s="11" t="s">
        <v>263</v>
      </c>
      <c r="C9" s="11" t="s">
        <v>264</v>
      </c>
      <c r="D9" s="12" t="str">
        <f>"0,5760"</f>
        <v>0,5760</v>
      </c>
      <c r="E9" s="11" t="s">
        <v>19</v>
      </c>
      <c r="F9" s="11" t="s">
        <v>47</v>
      </c>
      <c r="G9" s="14" t="s">
        <v>265</v>
      </c>
      <c r="H9" s="14" t="s">
        <v>142</v>
      </c>
      <c r="I9" s="13" t="s">
        <v>266</v>
      </c>
      <c r="J9" s="13"/>
      <c r="K9" s="14" t="s">
        <v>40</v>
      </c>
      <c r="L9" s="14" t="s">
        <v>64</v>
      </c>
      <c r="M9" s="14" t="s">
        <v>267</v>
      </c>
      <c r="N9" s="13"/>
      <c r="O9" s="15" t="str">
        <f>"200,0"</f>
        <v>200,0</v>
      </c>
      <c r="P9" s="16" t="str">
        <f>"118,7815"</f>
        <v>118,7815</v>
      </c>
      <c r="Q9" s="11" t="s">
        <v>23</v>
      </c>
    </row>
    <row r="11" spans="1:17" ht="15" x14ac:dyDescent="0.2">
      <c r="A11" s="62" t="s">
        <v>65</v>
      </c>
      <c r="B11" s="63"/>
      <c r="C11" s="63"/>
      <c r="D11" s="63"/>
      <c r="E11" s="63"/>
      <c r="F11" s="63"/>
      <c r="G11" s="63"/>
      <c r="H11" s="63"/>
      <c r="I11" s="63"/>
      <c r="J11" s="63"/>
      <c r="K11" s="63"/>
      <c r="L11" s="63"/>
      <c r="M11" s="63"/>
      <c r="N11" s="63"/>
    </row>
    <row r="12" spans="1:17" x14ac:dyDescent="0.2">
      <c r="A12" s="11" t="s">
        <v>269</v>
      </c>
      <c r="B12" s="11" t="s">
        <v>270</v>
      </c>
      <c r="C12" s="11" t="s">
        <v>271</v>
      </c>
      <c r="D12" s="12" t="str">
        <f>"0,5701"</f>
        <v>0,5701</v>
      </c>
      <c r="E12" s="11" t="s">
        <v>19</v>
      </c>
      <c r="F12" s="11" t="s">
        <v>272</v>
      </c>
      <c r="G12" s="14" t="s">
        <v>124</v>
      </c>
      <c r="H12" s="13" t="s">
        <v>126</v>
      </c>
      <c r="I12" s="13" t="s">
        <v>126</v>
      </c>
      <c r="J12" s="13"/>
      <c r="K12" s="13" t="s">
        <v>273</v>
      </c>
      <c r="L12" s="14" t="s">
        <v>213</v>
      </c>
      <c r="M12" s="13" t="s">
        <v>222</v>
      </c>
      <c r="N12" s="13"/>
      <c r="O12" s="15" t="str">
        <f>"380,0"</f>
        <v>380,0</v>
      </c>
      <c r="P12" s="16" t="str">
        <f>"216,6380"</f>
        <v>216,6380</v>
      </c>
      <c r="Q12" s="11" t="s">
        <v>23</v>
      </c>
    </row>
    <row r="14" spans="1:17" ht="15" x14ac:dyDescent="0.2">
      <c r="E14" s="35" t="s">
        <v>83</v>
      </c>
    </row>
    <row r="15" spans="1:17" ht="15" x14ac:dyDescent="0.2">
      <c r="E15" s="35" t="s">
        <v>84</v>
      </c>
    </row>
    <row r="16" spans="1:17" ht="15" x14ac:dyDescent="0.2">
      <c r="E16" s="35" t="s">
        <v>85</v>
      </c>
    </row>
    <row r="17" spans="1:5" ht="15" x14ac:dyDescent="0.2">
      <c r="E17" s="35" t="s">
        <v>86</v>
      </c>
    </row>
    <row r="18" spans="1:5" ht="15" x14ac:dyDescent="0.2">
      <c r="E18" s="35" t="s">
        <v>86</v>
      </c>
    </row>
    <row r="19" spans="1:5" ht="15" x14ac:dyDescent="0.2">
      <c r="E19" s="35" t="s">
        <v>87</v>
      </c>
    </row>
    <row r="20" spans="1:5" ht="15" x14ac:dyDescent="0.2">
      <c r="E20" s="35"/>
    </row>
    <row r="22" spans="1:5" ht="18" x14ac:dyDescent="0.25">
      <c r="A22" s="36" t="s">
        <v>88</v>
      </c>
      <c r="B22" s="36"/>
    </row>
    <row r="23" spans="1:5" ht="15" x14ac:dyDescent="0.2">
      <c r="A23" s="37" t="s">
        <v>236</v>
      </c>
      <c r="B23" s="37"/>
    </row>
    <row r="24" spans="1:5" ht="14.25" x14ac:dyDescent="0.2">
      <c r="A24" s="39"/>
      <c r="B24" s="40" t="s">
        <v>108</v>
      </c>
    </row>
    <row r="25" spans="1:5" ht="15" x14ac:dyDescent="0.2">
      <c r="A25" s="41" t="s">
        <v>91</v>
      </c>
      <c r="B25" s="41" t="s">
        <v>92</v>
      </c>
      <c r="C25" s="41" t="s">
        <v>93</v>
      </c>
      <c r="D25" s="42" t="s">
        <v>94</v>
      </c>
      <c r="E25" s="41" t="s">
        <v>96</v>
      </c>
    </row>
    <row r="26" spans="1:5" x14ac:dyDescent="0.2">
      <c r="A26" s="38" t="s">
        <v>138</v>
      </c>
      <c r="B26" s="4" t="s">
        <v>238</v>
      </c>
      <c r="C26" s="4" t="s">
        <v>98</v>
      </c>
      <c r="D26" s="43">
        <v>187.5</v>
      </c>
      <c r="E26" s="44">
        <v>130.32180665060901</v>
      </c>
    </row>
    <row r="27" spans="1:5" x14ac:dyDescent="0.2">
      <c r="A27" s="38" t="s">
        <v>261</v>
      </c>
      <c r="B27" s="4" t="s">
        <v>238</v>
      </c>
      <c r="C27" s="4" t="s">
        <v>274</v>
      </c>
      <c r="D27" s="43">
        <v>200</v>
      </c>
      <c r="E27" s="44">
        <v>118.781506597996</v>
      </c>
    </row>
    <row r="30" spans="1:5" ht="15" x14ac:dyDescent="0.2">
      <c r="A30" s="37" t="s">
        <v>89</v>
      </c>
      <c r="B30" s="37"/>
    </row>
    <row r="31" spans="1:5" ht="14.25" x14ac:dyDescent="0.2">
      <c r="A31" s="39"/>
      <c r="B31" s="40" t="s">
        <v>105</v>
      </c>
    </row>
    <row r="32" spans="1:5" ht="15" x14ac:dyDescent="0.2">
      <c r="A32" s="41" t="s">
        <v>91</v>
      </c>
      <c r="B32" s="41" t="s">
        <v>92</v>
      </c>
      <c r="C32" s="41" t="s">
        <v>93</v>
      </c>
      <c r="D32" s="42" t="s">
        <v>94</v>
      </c>
      <c r="E32" s="41" t="s">
        <v>96</v>
      </c>
    </row>
    <row r="33" spans="1:5" x14ac:dyDescent="0.2">
      <c r="A33" s="38" t="s">
        <v>268</v>
      </c>
      <c r="B33" s="4" t="s">
        <v>105</v>
      </c>
      <c r="C33" s="4" t="s">
        <v>103</v>
      </c>
      <c r="D33" s="43">
        <v>380</v>
      </c>
      <c r="E33" s="44">
        <v>216.63800358772301</v>
      </c>
    </row>
  </sheetData>
  <mergeCells count="15">
    <mergeCell ref="A1:Q2"/>
    <mergeCell ref="A3:A4"/>
    <mergeCell ref="B3:B4"/>
    <mergeCell ref="C3:C4"/>
    <mergeCell ref="D3:D4"/>
    <mergeCell ref="E3:E4"/>
    <mergeCell ref="F3:F4"/>
    <mergeCell ref="G3:J3"/>
    <mergeCell ref="K3:N3"/>
    <mergeCell ref="A8:N8"/>
    <mergeCell ref="A11:N11"/>
    <mergeCell ref="O3:O4"/>
    <mergeCell ref="P3:P4"/>
    <mergeCell ref="Q3:Q4"/>
    <mergeCell ref="A5:N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10" style="4" bestFit="1" customWidth="1"/>
    <col min="14" max="16384" width="9.140625" style="3"/>
  </cols>
  <sheetData>
    <row r="1" spans="1:13" s="2" customFormat="1" ht="29.1" customHeight="1" x14ac:dyDescent="0.2">
      <c r="A1" s="61" t="s">
        <v>247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129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47"/>
      <c r="L4" s="47"/>
      <c r="M4" s="49"/>
    </row>
    <row r="5" spans="1:13" ht="15" x14ac:dyDescent="0.2">
      <c r="A5" s="59" t="s">
        <v>59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1" t="s">
        <v>249</v>
      </c>
      <c r="B6" s="11" t="s">
        <v>250</v>
      </c>
      <c r="C6" s="11" t="s">
        <v>63</v>
      </c>
      <c r="D6" s="12" t="str">
        <f>"0,5930"</f>
        <v>0,5930</v>
      </c>
      <c r="E6" s="11" t="s">
        <v>70</v>
      </c>
      <c r="F6" s="11" t="s">
        <v>47</v>
      </c>
      <c r="G6" s="14" t="s">
        <v>251</v>
      </c>
      <c r="H6" s="13" t="s">
        <v>252</v>
      </c>
      <c r="I6" s="13" t="s">
        <v>252</v>
      </c>
      <c r="J6" s="13"/>
      <c r="K6" s="15" t="str">
        <f>"280,0"</f>
        <v>280,0</v>
      </c>
      <c r="L6" s="16" t="str">
        <f>"166,0400"</f>
        <v>166,0400</v>
      </c>
      <c r="M6" s="11" t="s">
        <v>253</v>
      </c>
    </row>
    <row r="8" spans="1:13" ht="15" x14ac:dyDescent="0.2">
      <c r="A8" s="62" t="s">
        <v>216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">
      <c r="A9" s="11" t="s">
        <v>255</v>
      </c>
      <c r="B9" s="11" t="s">
        <v>256</v>
      </c>
      <c r="C9" s="11" t="s">
        <v>257</v>
      </c>
      <c r="D9" s="12" t="str">
        <f>"0,5500"</f>
        <v>0,5500</v>
      </c>
      <c r="E9" s="11" t="s">
        <v>19</v>
      </c>
      <c r="F9" s="11" t="s">
        <v>47</v>
      </c>
      <c r="G9" s="14" t="s">
        <v>213</v>
      </c>
      <c r="H9" s="14" t="s">
        <v>258</v>
      </c>
      <c r="I9" s="13" t="s">
        <v>196</v>
      </c>
      <c r="J9" s="13"/>
      <c r="K9" s="15" t="str">
        <f>"247,5"</f>
        <v>247,5</v>
      </c>
      <c r="L9" s="16" t="str">
        <f>"136,1250"</f>
        <v>136,1250</v>
      </c>
      <c r="M9" s="11" t="s">
        <v>23</v>
      </c>
    </row>
    <row r="11" spans="1:13" ht="15" x14ac:dyDescent="0.2">
      <c r="E11" s="35" t="s">
        <v>83</v>
      </c>
    </row>
    <row r="12" spans="1:13" ht="15" x14ac:dyDescent="0.2">
      <c r="E12" s="35" t="s">
        <v>84</v>
      </c>
    </row>
    <row r="13" spans="1:13" ht="15" x14ac:dyDescent="0.2">
      <c r="E13" s="35" t="s">
        <v>85</v>
      </c>
    </row>
    <row r="14" spans="1:13" ht="15" x14ac:dyDescent="0.2">
      <c r="E14" s="35" t="s">
        <v>86</v>
      </c>
    </row>
    <row r="15" spans="1:13" ht="15" x14ac:dyDescent="0.2">
      <c r="E15" s="35" t="s">
        <v>86</v>
      </c>
    </row>
    <row r="16" spans="1:13" ht="15" x14ac:dyDescent="0.2">
      <c r="E16" s="35" t="s">
        <v>87</v>
      </c>
    </row>
    <row r="17" spans="1:5" ht="15" x14ac:dyDescent="0.2">
      <c r="E17" s="35"/>
    </row>
    <row r="19" spans="1:5" ht="18" x14ac:dyDescent="0.25">
      <c r="A19" s="36" t="s">
        <v>88</v>
      </c>
      <c r="B19" s="36"/>
    </row>
    <row r="20" spans="1:5" ht="15" x14ac:dyDescent="0.2">
      <c r="A20" s="37" t="s">
        <v>89</v>
      </c>
      <c r="B20" s="37"/>
    </row>
    <row r="21" spans="1:5" ht="14.25" x14ac:dyDescent="0.2">
      <c r="A21" s="39"/>
      <c r="B21" s="40" t="s">
        <v>105</v>
      </c>
    </row>
    <row r="22" spans="1:5" ht="15" x14ac:dyDescent="0.2">
      <c r="A22" s="41" t="s">
        <v>91</v>
      </c>
      <c r="B22" s="41" t="s">
        <v>92</v>
      </c>
      <c r="C22" s="41" t="s">
        <v>93</v>
      </c>
      <c r="D22" s="42" t="s">
        <v>95</v>
      </c>
      <c r="E22" s="41" t="s">
        <v>96</v>
      </c>
    </row>
    <row r="23" spans="1:5" x14ac:dyDescent="0.2">
      <c r="A23" s="38" t="s">
        <v>248</v>
      </c>
      <c r="B23" s="4" t="s">
        <v>105</v>
      </c>
      <c r="C23" s="4" t="s">
        <v>107</v>
      </c>
      <c r="D23" s="43">
        <v>280</v>
      </c>
      <c r="E23" s="44">
        <v>166.03999853134201</v>
      </c>
    </row>
    <row r="24" spans="1:5" x14ac:dyDescent="0.2">
      <c r="A24" s="38" t="s">
        <v>254</v>
      </c>
      <c r="B24" s="4" t="s">
        <v>105</v>
      </c>
      <c r="C24" s="4" t="s">
        <v>246</v>
      </c>
      <c r="D24" s="43">
        <v>247.5</v>
      </c>
      <c r="E24" s="44">
        <v>136.12500295043</v>
      </c>
    </row>
  </sheetData>
  <mergeCells count="13">
    <mergeCell ref="A1:M2"/>
    <mergeCell ref="A3:A4"/>
    <mergeCell ref="B3:B4"/>
    <mergeCell ref="C3:C4"/>
    <mergeCell ref="D3:D4"/>
    <mergeCell ref="E3:E4"/>
    <mergeCell ref="F3:F4"/>
    <mergeCell ref="G3:J3"/>
    <mergeCell ref="A8:J8"/>
    <mergeCell ref="K3:K4"/>
    <mergeCell ref="L3:L4"/>
    <mergeCell ref="M3:M4"/>
    <mergeCell ref="A5:J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93"/>
  <sheetViews>
    <sheetView workbookViewId="0">
      <selection sqref="A1:M2"/>
    </sheetView>
  </sheetViews>
  <sheetFormatPr defaultRowHeight="12.75" x14ac:dyDescent="0.2"/>
  <cols>
    <col min="1" max="1" width="26" style="4" bestFit="1" customWidth="1"/>
    <col min="2" max="2" width="28.5703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2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27.5703125" style="4" bestFit="1" customWidth="1"/>
    <col min="14" max="16384" width="9.140625" style="3"/>
  </cols>
  <sheetData>
    <row r="1" spans="1:13" s="2" customFormat="1" ht="29.1" customHeight="1" x14ac:dyDescent="0.2">
      <c r="A1" s="61" t="s">
        <v>128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129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47"/>
      <c r="L4" s="47"/>
      <c r="M4" s="49"/>
    </row>
    <row r="5" spans="1:13" ht="15" x14ac:dyDescent="0.2">
      <c r="A5" s="59" t="s">
        <v>14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7" t="s">
        <v>131</v>
      </c>
      <c r="B6" s="17" t="s">
        <v>132</v>
      </c>
      <c r="C6" s="17" t="s">
        <v>133</v>
      </c>
      <c r="D6" s="18" t="str">
        <f>"0,7872"</f>
        <v>0,7872</v>
      </c>
      <c r="E6" s="17" t="s">
        <v>19</v>
      </c>
      <c r="F6" s="17" t="s">
        <v>134</v>
      </c>
      <c r="G6" s="20" t="s">
        <v>135</v>
      </c>
      <c r="H6" s="20" t="s">
        <v>21</v>
      </c>
      <c r="I6" s="20" t="s">
        <v>22</v>
      </c>
      <c r="J6" s="19"/>
      <c r="K6" s="21" t="str">
        <f>"95,0"</f>
        <v>95,0</v>
      </c>
      <c r="L6" s="22" t="str">
        <f>"74,7840"</f>
        <v>74,7840</v>
      </c>
      <c r="M6" s="17" t="s">
        <v>136</v>
      </c>
    </row>
    <row r="7" spans="1:13" x14ac:dyDescent="0.2">
      <c r="A7" s="29" t="s">
        <v>131</v>
      </c>
      <c r="B7" s="29" t="s">
        <v>137</v>
      </c>
      <c r="C7" s="29" t="s">
        <v>133</v>
      </c>
      <c r="D7" s="30" t="str">
        <f>"0,7872"</f>
        <v>0,7872</v>
      </c>
      <c r="E7" s="29" t="s">
        <v>19</v>
      </c>
      <c r="F7" s="29" t="s">
        <v>134</v>
      </c>
      <c r="G7" s="32" t="s">
        <v>135</v>
      </c>
      <c r="H7" s="32" t="s">
        <v>21</v>
      </c>
      <c r="I7" s="32" t="s">
        <v>22</v>
      </c>
      <c r="J7" s="31"/>
      <c r="K7" s="33" t="str">
        <f>"95,0"</f>
        <v>95,0</v>
      </c>
      <c r="L7" s="34" t="str">
        <f>"118,9066"</f>
        <v>118,9066</v>
      </c>
      <c r="M7" s="29" t="s">
        <v>136</v>
      </c>
    </row>
    <row r="9" spans="1:13" ht="15" x14ac:dyDescent="0.2">
      <c r="A9" s="62" t="s">
        <v>33</v>
      </c>
      <c r="B9" s="63"/>
      <c r="C9" s="63"/>
      <c r="D9" s="63"/>
      <c r="E9" s="63"/>
      <c r="F9" s="63"/>
      <c r="G9" s="63"/>
      <c r="H9" s="63"/>
      <c r="I9" s="63"/>
      <c r="J9" s="63"/>
    </row>
    <row r="10" spans="1:13" x14ac:dyDescent="0.2">
      <c r="A10" s="11" t="s">
        <v>139</v>
      </c>
      <c r="B10" s="11" t="s">
        <v>140</v>
      </c>
      <c r="C10" s="11" t="s">
        <v>141</v>
      </c>
      <c r="D10" s="12" t="str">
        <f>"0,6888"</f>
        <v>0,6888</v>
      </c>
      <c r="E10" s="11" t="s">
        <v>19</v>
      </c>
      <c r="F10" s="11" t="s">
        <v>47</v>
      </c>
      <c r="G10" s="14" t="s">
        <v>39</v>
      </c>
      <c r="H10" s="14" t="s">
        <v>31</v>
      </c>
      <c r="I10" s="14" t="s">
        <v>48</v>
      </c>
      <c r="J10" s="13"/>
      <c r="K10" s="15" t="str">
        <f>"125,0"</f>
        <v>125,0</v>
      </c>
      <c r="L10" s="16" t="str">
        <f>"86,8812"</f>
        <v>86,8812</v>
      </c>
      <c r="M10" s="11" t="s">
        <v>23</v>
      </c>
    </row>
    <row r="12" spans="1:13" ht="15" x14ac:dyDescent="0.2">
      <c r="A12" s="62" t="s">
        <v>145</v>
      </c>
      <c r="B12" s="63"/>
      <c r="C12" s="63"/>
      <c r="D12" s="63"/>
      <c r="E12" s="63"/>
      <c r="F12" s="63"/>
      <c r="G12" s="63"/>
      <c r="H12" s="63"/>
      <c r="I12" s="63"/>
      <c r="J12" s="63"/>
    </row>
    <row r="13" spans="1:13" x14ac:dyDescent="0.2">
      <c r="A13" s="11" t="s">
        <v>147</v>
      </c>
      <c r="B13" s="11" t="s">
        <v>148</v>
      </c>
      <c r="C13" s="11" t="s">
        <v>149</v>
      </c>
      <c r="D13" s="12" t="str">
        <f>"1,0659"</f>
        <v>1,0659</v>
      </c>
      <c r="E13" s="11" t="s">
        <v>19</v>
      </c>
      <c r="F13" s="11" t="s">
        <v>38</v>
      </c>
      <c r="G13" s="14"/>
      <c r="H13" s="13" t="s">
        <v>39</v>
      </c>
      <c r="I13" s="14" t="s">
        <v>39</v>
      </c>
      <c r="J13" s="13"/>
      <c r="K13" s="15" t="str">
        <f>"110,0"</f>
        <v>110,0</v>
      </c>
      <c r="L13" s="16" t="str">
        <f>"144,2163"</f>
        <v>144,2163</v>
      </c>
      <c r="M13" s="11" t="s">
        <v>41</v>
      </c>
    </row>
    <row r="15" spans="1:13" ht="15" x14ac:dyDescent="0.2">
      <c r="A15" s="62" t="s">
        <v>150</v>
      </c>
      <c r="B15" s="63"/>
      <c r="C15" s="63"/>
      <c r="D15" s="63"/>
      <c r="E15" s="63"/>
      <c r="F15" s="63"/>
      <c r="G15" s="63"/>
      <c r="H15" s="63"/>
      <c r="I15" s="63"/>
      <c r="J15" s="63"/>
    </row>
    <row r="16" spans="1:13" x14ac:dyDescent="0.2">
      <c r="A16" s="11" t="s">
        <v>152</v>
      </c>
      <c r="B16" s="11" t="s">
        <v>153</v>
      </c>
      <c r="C16" s="11" t="s">
        <v>154</v>
      </c>
      <c r="D16" s="12" t="str">
        <f>"0,9966"</f>
        <v>0,9966</v>
      </c>
      <c r="E16" s="11" t="s">
        <v>155</v>
      </c>
      <c r="F16" s="11" t="s">
        <v>156</v>
      </c>
      <c r="G16" s="14" t="s">
        <v>39</v>
      </c>
      <c r="H16" s="14" t="s">
        <v>30</v>
      </c>
      <c r="I16" s="14" t="s">
        <v>31</v>
      </c>
      <c r="J16" s="13"/>
      <c r="K16" s="15" t="str">
        <f>"120,0"</f>
        <v>120,0</v>
      </c>
      <c r="L16" s="16" t="str">
        <f>"147,0982"</f>
        <v>147,0982</v>
      </c>
      <c r="M16" s="11" t="s">
        <v>157</v>
      </c>
    </row>
    <row r="18" spans="1:13" ht="15" x14ac:dyDescent="0.2">
      <c r="A18" s="62" t="s">
        <v>24</v>
      </c>
      <c r="B18" s="63"/>
      <c r="C18" s="63"/>
      <c r="D18" s="63"/>
      <c r="E18" s="63"/>
      <c r="F18" s="63"/>
      <c r="G18" s="63"/>
      <c r="H18" s="63"/>
      <c r="I18" s="63"/>
      <c r="J18" s="63"/>
    </row>
    <row r="19" spans="1:13" x14ac:dyDescent="0.2">
      <c r="A19" s="17" t="s">
        <v>159</v>
      </c>
      <c r="B19" s="17" t="s">
        <v>160</v>
      </c>
      <c r="C19" s="17" t="s">
        <v>161</v>
      </c>
      <c r="D19" s="18" t="str">
        <f>"0,6687"</f>
        <v>0,6687</v>
      </c>
      <c r="E19" s="17" t="s">
        <v>19</v>
      </c>
      <c r="F19" s="17" t="s">
        <v>20</v>
      </c>
      <c r="G19" s="20" t="s">
        <v>71</v>
      </c>
      <c r="H19" s="19" t="s">
        <v>162</v>
      </c>
      <c r="I19" s="19" t="s">
        <v>162</v>
      </c>
      <c r="J19" s="19"/>
      <c r="K19" s="21" t="str">
        <f>"180,0"</f>
        <v>180,0</v>
      </c>
      <c r="L19" s="22" t="str">
        <f>"129,9953"</f>
        <v>129,9953</v>
      </c>
      <c r="M19" s="17" t="s">
        <v>23</v>
      </c>
    </row>
    <row r="20" spans="1:13" x14ac:dyDescent="0.2">
      <c r="A20" s="23" t="s">
        <v>164</v>
      </c>
      <c r="B20" s="23" t="s">
        <v>165</v>
      </c>
      <c r="C20" s="23" t="s">
        <v>166</v>
      </c>
      <c r="D20" s="24" t="str">
        <f>"0,6752"</f>
        <v>0,6752</v>
      </c>
      <c r="E20" s="23" t="s">
        <v>19</v>
      </c>
      <c r="F20" s="23" t="s">
        <v>20</v>
      </c>
      <c r="G20" s="26" t="s">
        <v>71</v>
      </c>
      <c r="H20" s="25" t="s">
        <v>162</v>
      </c>
      <c r="I20" s="25" t="s">
        <v>162</v>
      </c>
      <c r="J20" s="25"/>
      <c r="K20" s="27" t="str">
        <f>"180,0"</f>
        <v>180,0</v>
      </c>
      <c r="L20" s="28" t="str">
        <f>"121,5360"</f>
        <v>121,5360</v>
      </c>
      <c r="M20" s="23" t="s">
        <v>23</v>
      </c>
    </row>
    <row r="21" spans="1:13" x14ac:dyDescent="0.2">
      <c r="A21" s="23" t="s">
        <v>167</v>
      </c>
      <c r="B21" s="23" t="s">
        <v>168</v>
      </c>
      <c r="C21" s="23" t="s">
        <v>169</v>
      </c>
      <c r="D21" s="24" t="str">
        <f>"0,6851"</f>
        <v>0,6851</v>
      </c>
      <c r="E21" s="23" t="s">
        <v>170</v>
      </c>
      <c r="F21" s="23" t="s">
        <v>156</v>
      </c>
      <c r="G21" s="25" t="s">
        <v>171</v>
      </c>
      <c r="H21" s="25" t="s">
        <v>172</v>
      </c>
      <c r="I21" s="25" t="s">
        <v>172</v>
      </c>
      <c r="J21" s="25"/>
      <c r="K21" s="27" t="str">
        <f>"0.00"</f>
        <v>0.00</v>
      </c>
      <c r="L21" s="28" t="str">
        <f>"0,0000"</f>
        <v>0,0000</v>
      </c>
      <c r="M21" s="23" t="s">
        <v>173</v>
      </c>
    </row>
    <row r="22" spans="1:13" x14ac:dyDescent="0.2">
      <c r="A22" s="29" t="s">
        <v>167</v>
      </c>
      <c r="B22" s="29" t="s">
        <v>174</v>
      </c>
      <c r="C22" s="29" t="s">
        <v>169</v>
      </c>
      <c r="D22" s="30" t="str">
        <f>"0,6851"</f>
        <v>0,6851</v>
      </c>
      <c r="E22" s="29" t="s">
        <v>170</v>
      </c>
      <c r="F22" s="29" t="s">
        <v>156</v>
      </c>
      <c r="G22" s="31" t="s">
        <v>171</v>
      </c>
      <c r="H22" s="31" t="s">
        <v>172</v>
      </c>
      <c r="I22" s="31" t="s">
        <v>172</v>
      </c>
      <c r="J22" s="31"/>
      <c r="K22" s="33" t="str">
        <f>"0.00"</f>
        <v>0.00</v>
      </c>
      <c r="L22" s="34" t="str">
        <f>"0,0000"</f>
        <v>0,0000</v>
      </c>
      <c r="M22" s="29" t="s">
        <v>173</v>
      </c>
    </row>
    <row r="24" spans="1:13" ht="15" x14ac:dyDescent="0.2">
      <c r="A24" s="62" t="s">
        <v>33</v>
      </c>
      <c r="B24" s="63"/>
      <c r="C24" s="63"/>
      <c r="D24" s="63"/>
      <c r="E24" s="63"/>
      <c r="F24" s="63"/>
      <c r="G24" s="63"/>
      <c r="H24" s="63"/>
      <c r="I24" s="63"/>
      <c r="J24" s="63"/>
    </row>
    <row r="25" spans="1:13" x14ac:dyDescent="0.2">
      <c r="A25" s="17" t="s">
        <v>175</v>
      </c>
      <c r="B25" s="17" t="s">
        <v>44</v>
      </c>
      <c r="C25" s="17" t="s">
        <v>45</v>
      </c>
      <c r="D25" s="18" t="str">
        <f>"0,6224"</f>
        <v>0,6224</v>
      </c>
      <c r="E25" s="17" t="s">
        <v>46</v>
      </c>
      <c r="F25" s="17" t="s">
        <v>47</v>
      </c>
      <c r="G25" s="20" t="s">
        <v>171</v>
      </c>
      <c r="H25" s="20" t="s">
        <v>172</v>
      </c>
      <c r="I25" s="19" t="s">
        <v>176</v>
      </c>
      <c r="J25" s="19"/>
      <c r="K25" s="21" t="str">
        <f>"210,0"</f>
        <v>210,0</v>
      </c>
      <c r="L25" s="22" t="str">
        <f>"130,7040"</f>
        <v>130,7040</v>
      </c>
      <c r="M25" s="17" t="s">
        <v>51</v>
      </c>
    </row>
    <row r="26" spans="1:13" x14ac:dyDescent="0.2">
      <c r="A26" s="29" t="s">
        <v>178</v>
      </c>
      <c r="B26" s="29" t="s">
        <v>179</v>
      </c>
      <c r="C26" s="29" t="s">
        <v>180</v>
      </c>
      <c r="D26" s="30" t="str">
        <f>"0,6193"</f>
        <v>0,6193</v>
      </c>
      <c r="E26" s="29" t="s">
        <v>181</v>
      </c>
      <c r="F26" s="29" t="s">
        <v>182</v>
      </c>
      <c r="G26" s="32" t="s">
        <v>116</v>
      </c>
      <c r="H26" s="31" t="s">
        <v>72</v>
      </c>
      <c r="I26" s="32" t="s">
        <v>72</v>
      </c>
      <c r="J26" s="31"/>
      <c r="K26" s="33" t="str">
        <f>"187,5"</f>
        <v>187,5</v>
      </c>
      <c r="L26" s="34" t="str">
        <f>"116,1188"</f>
        <v>116,1188</v>
      </c>
      <c r="M26" s="29" t="s">
        <v>183</v>
      </c>
    </row>
    <row r="28" spans="1:13" ht="15" x14ac:dyDescent="0.2">
      <c r="A28" s="62" t="s">
        <v>59</v>
      </c>
      <c r="B28" s="63"/>
      <c r="C28" s="63"/>
      <c r="D28" s="63"/>
      <c r="E28" s="63"/>
      <c r="F28" s="63"/>
      <c r="G28" s="63"/>
      <c r="H28" s="63"/>
      <c r="I28" s="63"/>
      <c r="J28" s="63"/>
    </row>
    <row r="29" spans="1:13" x14ac:dyDescent="0.2">
      <c r="A29" s="17" t="s">
        <v>185</v>
      </c>
      <c r="B29" s="17" t="s">
        <v>186</v>
      </c>
      <c r="C29" s="17" t="s">
        <v>187</v>
      </c>
      <c r="D29" s="18" t="str">
        <f>"0,5952"</f>
        <v>0,5952</v>
      </c>
      <c r="E29" s="17" t="s">
        <v>19</v>
      </c>
      <c r="F29" s="17" t="s">
        <v>47</v>
      </c>
      <c r="G29" s="20" t="s">
        <v>71</v>
      </c>
      <c r="H29" s="20" t="s">
        <v>188</v>
      </c>
      <c r="I29" s="20" t="s">
        <v>189</v>
      </c>
      <c r="J29" s="19"/>
      <c r="K29" s="21" t="str">
        <f>"205,0"</f>
        <v>205,0</v>
      </c>
      <c r="L29" s="22" t="str">
        <f>"123,2362"</f>
        <v>123,2362</v>
      </c>
      <c r="M29" s="17" t="s">
        <v>23</v>
      </c>
    </row>
    <row r="30" spans="1:13" x14ac:dyDescent="0.2">
      <c r="A30" s="23" t="s">
        <v>191</v>
      </c>
      <c r="B30" s="23" t="s">
        <v>192</v>
      </c>
      <c r="C30" s="23" t="s">
        <v>193</v>
      </c>
      <c r="D30" s="24" t="str">
        <f>"0,5901"</f>
        <v>0,5901</v>
      </c>
      <c r="E30" s="23" t="s">
        <v>194</v>
      </c>
      <c r="F30" s="23" t="s">
        <v>182</v>
      </c>
      <c r="G30" s="26" t="s">
        <v>195</v>
      </c>
      <c r="H30" s="25" t="s">
        <v>196</v>
      </c>
      <c r="I30" s="25" t="s">
        <v>196</v>
      </c>
      <c r="J30" s="25"/>
      <c r="K30" s="27" t="str">
        <f>"240,0"</f>
        <v>240,0</v>
      </c>
      <c r="L30" s="28" t="str">
        <f>"141,6240"</f>
        <v>141,6240</v>
      </c>
      <c r="M30" s="23" t="s">
        <v>183</v>
      </c>
    </row>
    <row r="31" spans="1:13" x14ac:dyDescent="0.2">
      <c r="A31" s="23" t="s">
        <v>198</v>
      </c>
      <c r="B31" s="23" t="s">
        <v>199</v>
      </c>
      <c r="C31" s="23" t="s">
        <v>200</v>
      </c>
      <c r="D31" s="24" t="str">
        <f>"0,5869"</f>
        <v>0,5869</v>
      </c>
      <c r="E31" s="23" t="s">
        <v>181</v>
      </c>
      <c r="F31" s="23" t="s">
        <v>182</v>
      </c>
      <c r="G31" s="26" t="s">
        <v>172</v>
      </c>
      <c r="H31" s="25" t="s">
        <v>201</v>
      </c>
      <c r="I31" s="25" t="s">
        <v>201</v>
      </c>
      <c r="J31" s="25"/>
      <c r="K31" s="27" t="str">
        <f>"210,0"</f>
        <v>210,0</v>
      </c>
      <c r="L31" s="28" t="str">
        <f>"123,2490"</f>
        <v>123,2490</v>
      </c>
      <c r="M31" s="23" t="s">
        <v>23</v>
      </c>
    </row>
    <row r="32" spans="1:13" x14ac:dyDescent="0.2">
      <c r="A32" s="23" t="s">
        <v>203</v>
      </c>
      <c r="B32" s="23" t="s">
        <v>204</v>
      </c>
      <c r="C32" s="23" t="s">
        <v>205</v>
      </c>
      <c r="D32" s="24" t="str">
        <f>"0,5885"</f>
        <v>0,5885</v>
      </c>
      <c r="E32" s="23" t="s">
        <v>19</v>
      </c>
      <c r="F32" s="23" t="s">
        <v>134</v>
      </c>
      <c r="G32" s="26" t="s">
        <v>80</v>
      </c>
      <c r="H32" s="26" t="s">
        <v>81</v>
      </c>
      <c r="I32" s="25" t="s">
        <v>162</v>
      </c>
      <c r="J32" s="25"/>
      <c r="K32" s="27" t="str">
        <f>"185,0"</f>
        <v>185,0</v>
      </c>
      <c r="L32" s="28" t="str">
        <f>"108,8725"</f>
        <v>108,8725</v>
      </c>
      <c r="M32" s="23" t="s">
        <v>136</v>
      </c>
    </row>
    <row r="33" spans="1:13" x14ac:dyDescent="0.2">
      <c r="A33" s="23" t="s">
        <v>207</v>
      </c>
      <c r="B33" s="23" t="s">
        <v>208</v>
      </c>
      <c r="C33" s="23" t="s">
        <v>205</v>
      </c>
      <c r="D33" s="24" t="str">
        <f>"0,5885"</f>
        <v>0,5885</v>
      </c>
      <c r="E33" s="23" t="s">
        <v>19</v>
      </c>
      <c r="F33" s="23" t="s">
        <v>182</v>
      </c>
      <c r="G33" s="26" t="s">
        <v>162</v>
      </c>
      <c r="H33" s="26" t="s">
        <v>172</v>
      </c>
      <c r="I33" s="25" t="s">
        <v>201</v>
      </c>
      <c r="J33" s="25"/>
      <c r="K33" s="27" t="str">
        <f>"210,0"</f>
        <v>210,0</v>
      </c>
      <c r="L33" s="28" t="str">
        <f>"125,8095"</f>
        <v>125,8095</v>
      </c>
      <c r="M33" s="23" t="s">
        <v>23</v>
      </c>
    </row>
    <row r="34" spans="1:13" x14ac:dyDescent="0.2">
      <c r="A34" s="23" t="s">
        <v>210</v>
      </c>
      <c r="B34" s="23" t="s">
        <v>211</v>
      </c>
      <c r="C34" s="23" t="s">
        <v>212</v>
      </c>
      <c r="D34" s="24" t="str">
        <f>"0,5893"</f>
        <v>0,5893</v>
      </c>
      <c r="E34" s="23" t="s">
        <v>194</v>
      </c>
      <c r="F34" s="23" t="s">
        <v>182</v>
      </c>
      <c r="G34" s="26" t="s">
        <v>172</v>
      </c>
      <c r="H34" s="26" t="s">
        <v>201</v>
      </c>
      <c r="I34" s="26" t="s">
        <v>213</v>
      </c>
      <c r="J34" s="25"/>
      <c r="K34" s="27" t="str">
        <f>"230,0"</f>
        <v>230,0</v>
      </c>
      <c r="L34" s="28" t="str">
        <f>"180,2669"</f>
        <v>180,2669</v>
      </c>
      <c r="M34" s="23" t="s">
        <v>183</v>
      </c>
    </row>
    <row r="35" spans="1:13" x14ac:dyDescent="0.2">
      <c r="A35" s="29" t="s">
        <v>214</v>
      </c>
      <c r="B35" s="29" t="s">
        <v>215</v>
      </c>
      <c r="C35" s="29" t="s">
        <v>205</v>
      </c>
      <c r="D35" s="30" t="str">
        <f>"0,5885"</f>
        <v>0,5885</v>
      </c>
      <c r="E35" s="29" t="s">
        <v>19</v>
      </c>
      <c r="F35" s="29" t="s">
        <v>134</v>
      </c>
      <c r="G35" s="32" t="s">
        <v>80</v>
      </c>
      <c r="H35" s="32" t="s">
        <v>81</v>
      </c>
      <c r="I35" s="31" t="s">
        <v>162</v>
      </c>
      <c r="J35" s="31"/>
      <c r="K35" s="33" t="str">
        <f>"185,0"</f>
        <v>185,0</v>
      </c>
      <c r="L35" s="34" t="str">
        <f>"214,4788"</f>
        <v>214,4788</v>
      </c>
      <c r="M35" s="29" t="s">
        <v>136</v>
      </c>
    </row>
    <row r="37" spans="1:13" ht="15" x14ac:dyDescent="0.2">
      <c r="A37" s="62" t="s">
        <v>216</v>
      </c>
      <c r="B37" s="63"/>
      <c r="C37" s="63"/>
      <c r="D37" s="63"/>
      <c r="E37" s="63"/>
      <c r="F37" s="63"/>
      <c r="G37" s="63"/>
      <c r="H37" s="63"/>
      <c r="I37" s="63"/>
      <c r="J37" s="63"/>
    </row>
    <row r="38" spans="1:13" x14ac:dyDescent="0.2">
      <c r="A38" s="11" t="s">
        <v>218</v>
      </c>
      <c r="B38" s="11" t="s">
        <v>219</v>
      </c>
      <c r="C38" s="11" t="s">
        <v>220</v>
      </c>
      <c r="D38" s="12" t="str">
        <f>"0,5407"</f>
        <v>0,5407</v>
      </c>
      <c r="E38" s="11" t="s">
        <v>19</v>
      </c>
      <c r="F38" s="11" t="s">
        <v>221</v>
      </c>
      <c r="G38" s="13" t="s">
        <v>222</v>
      </c>
      <c r="H38" s="14" t="s">
        <v>223</v>
      </c>
      <c r="I38" s="13"/>
      <c r="J38" s="13"/>
      <c r="K38" s="15" t="str">
        <f>"255,0"</f>
        <v>255,0</v>
      </c>
      <c r="L38" s="16" t="str">
        <f>"150,5633"</f>
        <v>150,5633</v>
      </c>
      <c r="M38" s="11" t="s">
        <v>23</v>
      </c>
    </row>
    <row r="40" spans="1:13" ht="15" x14ac:dyDescent="0.2">
      <c r="A40" s="62" t="s">
        <v>75</v>
      </c>
      <c r="B40" s="63"/>
      <c r="C40" s="63"/>
      <c r="D40" s="63"/>
      <c r="E40" s="63"/>
      <c r="F40" s="63"/>
      <c r="G40" s="63"/>
      <c r="H40" s="63"/>
      <c r="I40" s="63"/>
      <c r="J40" s="63"/>
    </row>
    <row r="41" spans="1:13" x14ac:dyDescent="0.2">
      <c r="A41" s="11" t="s">
        <v>77</v>
      </c>
      <c r="B41" s="11" t="s">
        <v>78</v>
      </c>
      <c r="C41" s="11" t="s">
        <v>79</v>
      </c>
      <c r="D41" s="12" t="str">
        <f>"0,5210"</f>
        <v>0,5210</v>
      </c>
      <c r="E41" s="11" t="s">
        <v>19</v>
      </c>
      <c r="F41" s="11" t="s">
        <v>47</v>
      </c>
      <c r="G41" s="14" t="s">
        <v>224</v>
      </c>
      <c r="H41" s="14" t="s">
        <v>225</v>
      </c>
      <c r="I41" s="13" t="s">
        <v>226</v>
      </c>
      <c r="J41" s="13"/>
      <c r="K41" s="15" t="str">
        <f>"295,0"</f>
        <v>295,0</v>
      </c>
      <c r="L41" s="16" t="str">
        <f>"153,6950"</f>
        <v>153,6950</v>
      </c>
      <c r="M41" s="11" t="s">
        <v>82</v>
      </c>
    </row>
    <row r="43" spans="1:13" ht="15" x14ac:dyDescent="0.2">
      <c r="A43" s="62" t="s">
        <v>227</v>
      </c>
      <c r="B43" s="63"/>
      <c r="C43" s="63"/>
      <c r="D43" s="63"/>
      <c r="E43" s="63"/>
      <c r="F43" s="63"/>
      <c r="G43" s="63"/>
      <c r="H43" s="63"/>
      <c r="I43" s="63"/>
      <c r="J43" s="63"/>
    </row>
    <row r="44" spans="1:13" x14ac:dyDescent="0.2">
      <c r="A44" s="11" t="s">
        <v>229</v>
      </c>
      <c r="B44" s="11" t="s">
        <v>230</v>
      </c>
      <c r="C44" s="11" t="s">
        <v>231</v>
      </c>
      <c r="D44" s="12" t="str">
        <f>"0,5188"</f>
        <v>0,5188</v>
      </c>
      <c r="E44" s="11" t="s">
        <v>19</v>
      </c>
      <c r="F44" s="11" t="s">
        <v>232</v>
      </c>
      <c r="G44" s="14" t="s">
        <v>233</v>
      </c>
      <c r="H44" s="14" t="s">
        <v>234</v>
      </c>
      <c r="I44" s="14" t="s">
        <v>235</v>
      </c>
      <c r="J44" s="13"/>
      <c r="K44" s="15" t="str">
        <f>"290,0"</f>
        <v>290,0</v>
      </c>
      <c r="L44" s="16" t="str">
        <f>"153,1719"</f>
        <v>153,1719</v>
      </c>
      <c r="M44" s="11" t="s">
        <v>23</v>
      </c>
    </row>
    <row r="46" spans="1:13" ht="15" x14ac:dyDescent="0.2">
      <c r="E46" s="35" t="s">
        <v>83</v>
      </c>
    </row>
    <row r="47" spans="1:13" ht="15" x14ac:dyDescent="0.2">
      <c r="E47" s="35" t="s">
        <v>84</v>
      </c>
    </row>
    <row r="48" spans="1:13" ht="15" x14ac:dyDescent="0.2">
      <c r="E48" s="35" t="s">
        <v>85</v>
      </c>
    </row>
    <row r="49" spans="1:5" ht="15" x14ac:dyDescent="0.2">
      <c r="E49" s="35" t="s">
        <v>86</v>
      </c>
    </row>
    <row r="50" spans="1:5" ht="15" x14ac:dyDescent="0.2">
      <c r="E50" s="35" t="s">
        <v>86</v>
      </c>
    </row>
    <row r="51" spans="1:5" ht="15" x14ac:dyDescent="0.2">
      <c r="E51" s="35" t="s">
        <v>87</v>
      </c>
    </row>
    <row r="52" spans="1:5" ht="15" x14ac:dyDescent="0.2">
      <c r="E52" s="35"/>
    </row>
    <row r="54" spans="1:5" ht="18" x14ac:dyDescent="0.25">
      <c r="A54" s="36" t="s">
        <v>88</v>
      </c>
      <c r="B54" s="36"/>
    </row>
    <row r="55" spans="1:5" ht="15" x14ac:dyDescent="0.2">
      <c r="A55" s="37" t="s">
        <v>236</v>
      </c>
      <c r="B55" s="37"/>
    </row>
    <row r="56" spans="1:5" ht="14.25" x14ac:dyDescent="0.2">
      <c r="A56" s="39"/>
      <c r="B56" s="40" t="s">
        <v>105</v>
      </c>
    </row>
    <row r="57" spans="1:5" ht="15" x14ac:dyDescent="0.2">
      <c r="A57" s="41" t="s">
        <v>91</v>
      </c>
      <c r="B57" s="41" t="s">
        <v>92</v>
      </c>
      <c r="C57" s="41" t="s">
        <v>93</v>
      </c>
      <c r="D57" s="42" t="s">
        <v>95</v>
      </c>
      <c r="E57" s="41" t="s">
        <v>96</v>
      </c>
    </row>
    <row r="58" spans="1:5" x14ac:dyDescent="0.2">
      <c r="A58" s="38" t="s">
        <v>130</v>
      </c>
      <c r="B58" s="4" t="s">
        <v>105</v>
      </c>
      <c r="C58" s="4" t="s">
        <v>104</v>
      </c>
      <c r="D58" s="43">
        <v>95</v>
      </c>
      <c r="E58" s="44">
        <v>74.783997535705595</v>
      </c>
    </row>
    <row r="60" spans="1:5" ht="14.25" x14ac:dyDescent="0.2">
      <c r="A60" s="39"/>
      <c r="B60" s="40" t="s">
        <v>108</v>
      </c>
    </row>
    <row r="61" spans="1:5" ht="15" x14ac:dyDescent="0.2">
      <c r="A61" s="41" t="s">
        <v>91</v>
      </c>
      <c r="B61" s="41" t="s">
        <v>92</v>
      </c>
      <c r="C61" s="41" t="s">
        <v>93</v>
      </c>
      <c r="D61" s="42" t="s">
        <v>95</v>
      </c>
      <c r="E61" s="41" t="s">
        <v>96</v>
      </c>
    </row>
    <row r="62" spans="1:5" x14ac:dyDescent="0.2">
      <c r="A62" s="38" t="s">
        <v>130</v>
      </c>
      <c r="B62" s="4" t="s">
        <v>237</v>
      </c>
      <c r="C62" s="4" t="s">
        <v>104</v>
      </c>
      <c r="D62" s="43">
        <v>95</v>
      </c>
      <c r="E62" s="44">
        <v>118.906556081772</v>
      </c>
    </row>
    <row r="63" spans="1:5" x14ac:dyDescent="0.2">
      <c r="A63" s="38" t="s">
        <v>138</v>
      </c>
      <c r="B63" s="4" t="s">
        <v>238</v>
      </c>
      <c r="C63" s="4" t="s">
        <v>98</v>
      </c>
      <c r="D63" s="43">
        <v>125</v>
      </c>
      <c r="E63" s="44">
        <v>86.8812044337392</v>
      </c>
    </row>
    <row r="66" spans="1:5" ht="15" x14ac:dyDescent="0.2">
      <c r="A66" s="37" t="s">
        <v>89</v>
      </c>
      <c r="B66" s="37"/>
    </row>
    <row r="67" spans="1:5" ht="14.25" x14ac:dyDescent="0.2">
      <c r="A67" s="39"/>
      <c r="B67" s="40" t="s">
        <v>90</v>
      </c>
    </row>
    <row r="68" spans="1:5" ht="15" x14ac:dyDescent="0.2">
      <c r="A68" s="41" t="s">
        <v>91</v>
      </c>
      <c r="B68" s="41" t="s">
        <v>92</v>
      </c>
      <c r="C68" s="41" t="s">
        <v>93</v>
      </c>
      <c r="D68" s="42" t="s">
        <v>95</v>
      </c>
      <c r="E68" s="41" t="s">
        <v>96</v>
      </c>
    </row>
    <row r="69" spans="1:5" x14ac:dyDescent="0.2">
      <c r="A69" s="38" t="s">
        <v>151</v>
      </c>
      <c r="B69" s="4" t="s">
        <v>97</v>
      </c>
      <c r="C69" s="4" t="s">
        <v>239</v>
      </c>
      <c r="D69" s="43">
        <v>120</v>
      </c>
      <c r="E69" s="44">
        <v>147.09815590381601</v>
      </c>
    </row>
    <row r="70" spans="1:5" x14ac:dyDescent="0.2">
      <c r="A70" s="38" t="s">
        <v>146</v>
      </c>
      <c r="B70" s="4" t="s">
        <v>97</v>
      </c>
      <c r="C70" s="4" t="s">
        <v>240</v>
      </c>
      <c r="D70" s="43">
        <v>110</v>
      </c>
      <c r="E70" s="44">
        <v>144.21626569032699</v>
      </c>
    </row>
    <row r="71" spans="1:5" x14ac:dyDescent="0.2">
      <c r="A71" s="38" t="s">
        <v>158</v>
      </c>
      <c r="B71" s="4" t="s">
        <v>241</v>
      </c>
      <c r="C71" s="4" t="s">
        <v>100</v>
      </c>
      <c r="D71" s="43">
        <v>180</v>
      </c>
      <c r="E71" s="44">
        <v>129.99527606964099</v>
      </c>
    </row>
    <row r="73" spans="1:5" ht="14.25" x14ac:dyDescent="0.2">
      <c r="A73" s="39"/>
      <c r="B73" s="40" t="s">
        <v>101</v>
      </c>
    </row>
    <row r="74" spans="1:5" ht="15" x14ac:dyDescent="0.2">
      <c r="A74" s="41" t="s">
        <v>91</v>
      </c>
      <c r="B74" s="41" t="s">
        <v>92</v>
      </c>
      <c r="C74" s="41" t="s">
        <v>93</v>
      </c>
      <c r="D74" s="42" t="s">
        <v>95</v>
      </c>
      <c r="E74" s="41" t="s">
        <v>96</v>
      </c>
    </row>
    <row r="75" spans="1:5" x14ac:dyDescent="0.2">
      <c r="A75" s="38" t="s">
        <v>184</v>
      </c>
      <c r="B75" s="4" t="s">
        <v>102</v>
      </c>
      <c r="C75" s="4" t="s">
        <v>107</v>
      </c>
      <c r="D75" s="43">
        <v>205</v>
      </c>
      <c r="E75" s="44">
        <v>123.236160454154</v>
      </c>
    </row>
    <row r="77" spans="1:5" ht="14.25" x14ac:dyDescent="0.2">
      <c r="A77" s="39"/>
      <c r="B77" s="40" t="s">
        <v>105</v>
      </c>
    </row>
    <row r="78" spans="1:5" ht="15" x14ac:dyDescent="0.2">
      <c r="A78" s="41" t="s">
        <v>91</v>
      </c>
      <c r="B78" s="41" t="s">
        <v>92</v>
      </c>
      <c r="C78" s="41" t="s">
        <v>93</v>
      </c>
      <c r="D78" s="42" t="s">
        <v>95</v>
      </c>
      <c r="E78" s="41" t="s">
        <v>96</v>
      </c>
    </row>
    <row r="79" spans="1:5" x14ac:dyDescent="0.2">
      <c r="A79" s="38" t="s">
        <v>76</v>
      </c>
      <c r="B79" s="4" t="s">
        <v>105</v>
      </c>
      <c r="C79" s="4" t="s">
        <v>106</v>
      </c>
      <c r="D79" s="43">
        <v>295</v>
      </c>
      <c r="E79" s="44">
        <v>153.695008158684</v>
      </c>
    </row>
    <row r="80" spans="1:5" x14ac:dyDescent="0.2">
      <c r="A80" s="38" t="s">
        <v>190</v>
      </c>
      <c r="B80" s="4" t="s">
        <v>105</v>
      </c>
      <c r="C80" s="4" t="s">
        <v>107</v>
      </c>
      <c r="D80" s="43">
        <v>240</v>
      </c>
      <c r="E80" s="44">
        <v>141.623997688293</v>
      </c>
    </row>
    <row r="81" spans="1:5" x14ac:dyDescent="0.2">
      <c r="A81" s="38" t="s">
        <v>42</v>
      </c>
      <c r="B81" s="4" t="s">
        <v>105</v>
      </c>
      <c r="C81" s="4" t="s">
        <v>98</v>
      </c>
      <c r="D81" s="43">
        <v>210</v>
      </c>
      <c r="E81" s="44">
        <v>130.70399701595301</v>
      </c>
    </row>
    <row r="82" spans="1:5" x14ac:dyDescent="0.2">
      <c r="A82" s="38" t="s">
        <v>197</v>
      </c>
      <c r="B82" s="4" t="s">
        <v>105</v>
      </c>
      <c r="C82" s="4" t="s">
        <v>107</v>
      </c>
      <c r="D82" s="43">
        <v>210</v>
      </c>
      <c r="E82" s="44">
        <v>123.248999118805</v>
      </c>
    </row>
    <row r="83" spans="1:5" x14ac:dyDescent="0.2">
      <c r="A83" s="38" t="s">
        <v>163</v>
      </c>
      <c r="B83" s="4" t="s">
        <v>105</v>
      </c>
      <c r="C83" s="4" t="s">
        <v>100</v>
      </c>
      <c r="D83" s="43">
        <v>180</v>
      </c>
      <c r="E83" s="44">
        <v>121.535997390747</v>
      </c>
    </row>
    <row r="84" spans="1:5" x14ac:dyDescent="0.2">
      <c r="A84" s="38" t="s">
        <v>177</v>
      </c>
      <c r="B84" s="4" t="s">
        <v>105</v>
      </c>
      <c r="C84" s="4" t="s">
        <v>98</v>
      </c>
      <c r="D84" s="43">
        <v>187.5</v>
      </c>
      <c r="E84" s="44">
        <v>116.11875146627401</v>
      </c>
    </row>
    <row r="85" spans="1:5" x14ac:dyDescent="0.2">
      <c r="A85" s="38" t="s">
        <v>202</v>
      </c>
      <c r="B85" s="4" t="s">
        <v>105</v>
      </c>
      <c r="C85" s="4" t="s">
        <v>107</v>
      </c>
      <c r="D85" s="43">
        <v>185</v>
      </c>
      <c r="E85" s="44">
        <v>108.87250423431399</v>
      </c>
    </row>
    <row r="87" spans="1:5" ht="14.25" x14ac:dyDescent="0.2">
      <c r="A87" s="39"/>
      <c r="B87" s="40" t="s">
        <v>108</v>
      </c>
    </row>
    <row r="88" spans="1:5" ht="15" x14ac:dyDescent="0.2">
      <c r="A88" s="41" t="s">
        <v>91</v>
      </c>
      <c r="B88" s="41" t="s">
        <v>92</v>
      </c>
      <c r="C88" s="41" t="s">
        <v>93</v>
      </c>
      <c r="D88" s="42" t="s">
        <v>95</v>
      </c>
      <c r="E88" s="41" t="s">
        <v>96</v>
      </c>
    </row>
    <row r="89" spans="1:5" x14ac:dyDescent="0.2">
      <c r="A89" s="38" t="s">
        <v>202</v>
      </c>
      <c r="B89" s="4" t="s">
        <v>242</v>
      </c>
      <c r="C89" s="4" t="s">
        <v>107</v>
      </c>
      <c r="D89" s="43">
        <v>185</v>
      </c>
      <c r="E89" s="44">
        <v>214.478833341599</v>
      </c>
    </row>
    <row r="90" spans="1:5" x14ac:dyDescent="0.2">
      <c r="A90" s="38" t="s">
        <v>209</v>
      </c>
      <c r="B90" s="4" t="s">
        <v>243</v>
      </c>
      <c r="C90" s="4" t="s">
        <v>107</v>
      </c>
      <c r="D90" s="43">
        <v>230</v>
      </c>
      <c r="E90" s="44">
        <v>180.26686291098599</v>
      </c>
    </row>
    <row r="91" spans="1:5" x14ac:dyDescent="0.2">
      <c r="A91" s="38" t="s">
        <v>228</v>
      </c>
      <c r="B91" s="4" t="s">
        <v>238</v>
      </c>
      <c r="C91" s="4" t="s">
        <v>244</v>
      </c>
      <c r="D91" s="43">
        <v>290</v>
      </c>
      <c r="E91" s="44">
        <v>153.17194920897501</v>
      </c>
    </row>
    <row r="92" spans="1:5" x14ac:dyDescent="0.2">
      <c r="A92" s="38" t="s">
        <v>217</v>
      </c>
      <c r="B92" s="4" t="s">
        <v>245</v>
      </c>
      <c r="C92" s="4" t="s">
        <v>246</v>
      </c>
      <c r="D92" s="43">
        <v>255</v>
      </c>
      <c r="E92" s="44">
        <v>150.56332712531099</v>
      </c>
    </row>
    <row r="93" spans="1:5" x14ac:dyDescent="0.2">
      <c r="A93" s="38" t="s">
        <v>206</v>
      </c>
      <c r="B93" s="4" t="s">
        <v>238</v>
      </c>
      <c r="C93" s="4" t="s">
        <v>107</v>
      </c>
      <c r="D93" s="43">
        <v>210</v>
      </c>
      <c r="E93" s="44">
        <v>125.809534893036</v>
      </c>
    </row>
  </sheetData>
  <mergeCells count="21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  <mergeCell ref="A37:J37"/>
    <mergeCell ref="A40:J40"/>
    <mergeCell ref="A43:J43"/>
    <mergeCell ref="A9:J9"/>
    <mergeCell ref="A12:J12"/>
    <mergeCell ref="A15:J15"/>
    <mergeCell ref="A18:J18"/>
    <mergeCell ref="A24:J24"/>
    <mergeCell ref="A28:J28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6.5703125" style="5" bestFit="1" customWidth="1"/>
    <col min="5" max="5" width="22.7109375" style="4" bestFit="1" customWidth="1"/>
    <col min="6" max="6" width="17.28515625" style="4" bestFit="1" customWidth="1"/>
    <col min="7" max="9" width="2.140625" style="3" customWidth="1"/>
    <col min="10" max="10" width="4.85546875" style="3" customWidth="1"/>
    <col min="11" max="11" width="7.85546875" style="7" bestFit="1" customWidth="1"/>
    <col min="12" max="12" width="6.42578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127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/>
      <c r="E3" s="45" t="s">
        <v>4</v>
      </c>
      <c r="F3" s="45" t="s">
        <v>7</v>
      </c>
      <c r="G3" s="45"/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47"/>
      <c r="L4" s="47"/>
      <c r="M4" s="49"/>
    </row>
    <row r="6" spans="1:13" ht="15" x14ac:dyDescent="0.2">
      <c r="E6" s="35" t="s">
        <v>83</v>
      </c>
    </row>
    <row r="7" spans="1:13" ht="15" x14ac:dyDescent="0.2">
      <c r="E7" s="35" t="s">
        <v>84</v>
      </c>
    </row>
    <row r="8" spans="1:13" ht="15" x14ac:dyDescent="0.2">
      <c r="E8" s="35" t="s">
        <v>85</v>
      </c>
    </row>
    <row r="9" spans="1:13" ht="15" x14ac:dyDescent="0.2">
      <c r="E9" s="35" t="s">
        <v>86</v>
      </c>
    </row>
    <row r="10" spans="1:13" ht="15" x14ac:dyDescent="0.2">
      <c r="E10" s="35" t="s">
        <v>86</v>
      </c>
    </row>
    <row r="11" spans="1:13" ht="15" x14ac:dyDescent="0.2">
      <c r="E11" s="35" t="s">
        <v>87</v>
      </c>
    </row>
    <row r="12" spans="1:13" ht="15" x14ac:dyDescent="0.2">
      <c r="E12" s="35"/>
    </row>
    <row r="14" spans="1:13" ht="18" x14ac:dyDescent="0.25">
      <c r="A14" s="36" t="s">
        <v>88</v>
      </c>
      <c r="B14" s="36"/>
    </row>
  </sheetData>
  <mergeCells count="11">
    <mergeCell ref="K3:K4"/>
    <mergeCell ref="L3:L4"/>
    <mergeCell ref="M3:M4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118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47"/>
      <c r="L4" s="47"/>
      <c r="M4" s="49"/>
    </row>
    <row r="5" spans="1:13" ht="15" x14ac:dyDescent="0.2">
      <c r="A5" s="59" t="s">
        <v>33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1" t="s">
        <v>120</v>
      </c>
      <c r="B6" s="11" t="s">
        <v>121</v>
      </c>
      <c r="C6" s="11" t="s">
        <v>122</v>
      </c>
      <c r="D6" s="12" t="str">
        <f>"0,6295"</f>
        <v>0,6295</v>
      </c>
      <c r="E6" s="11" t="s">
        <v>19</v>
      </c>
      <c r="F6" s="11" t="s">
        <v>123</v>
      </c>
      <c r="G6" s="14" t="s">
        <v>124</v>
      </c>
      <c r="H6" s="14" t="s">
        <v>125</v>
      </c>
      <c r="I6" s="14" t="s">
        <v>126</v>
      </c>
      <c r="J6" s="13"/>
      <c r="K6" s="15" t="str">
        <f>"160,0"</f>
        <v>160,0</v>
      </c>
      <c r="L6" s="16" t="str">
        <f>"100,7200"</f>
        <v>100,7200</v>
      </c>
      <c r="M6" s="11" t="s">
        <v>23</v>
      </c>
    </row>
    <row r="8" spans="1:13" ht="15" x14ac:dyDescent="0.2">
      <c r="E8" s="35" t="s">
        <v>83</v>
      </c>
    </row>
    <row r="9" spans="1:13" ht="15" x14ac:dyDescent="0.2">
      <c r="E9" s="35" t="s">
        <v>84</v>
      </c>
    </row>
    <row r="10" spans="1:13" ht="15" x14ac:dyDescent="0.2">
      <c r="E10" s="35" t="s">
        <v>85</v>
      </c>
    </row>
    <row r="11" spans="1:13" ht="15" x14ac:dyDescent="0.2">
      <c r="E11" s="35" t="s">
        <v>86</v>
      </c>
    </row>
    <row r="12" spans="1:13" ht="15" x14ac:dyDescent="0.2">
      <c r="E12" s="35" t="s">
        <v>86</v>
      </c>
    </row>
    <row r="13" spans="1:13" ht="15" x14ac:dyDescent="0.2">
      <c r="E13" s="35" t="s">
        <v>87</v>
      </c>
    </row>
    <row r="14" spans="1:13" ht="15" x14ac:dyDescent="0.2">
      <c r="E14" s="35"/>
    </row>
    <row r="16" spans="1:13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96</v>
      </c>
    </row>
    <row r="20" spans="1:5" x14ac:dyDescent="0.2">
      <c r="A20" s="38" t="s">
        <v>119</v>
      </c>
      <c r="B20" s="4" t="s">
        <v>105</v>
      </c>
      <c r="C20" s="4" t="s">
        <v>98</v>
      </c>
      <c r="D20" s="43">
        <v>160</v>
      </c>
      <c r="E20" s="44">
        <v>100.719995498657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0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29.710937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8.85546875" style="4" bestFit="1" customWidth="1"/>
    <col min="14" max="16384" width="9.140625" style="3"/>
  </cols>
  <sheetData>
    <row r="1" spans="1:13" s="2" customFormat="1" ht="29.1" customHeight="1" x14ac:dyDescent="0.2">
      <c r="A1" s="61" t="s">
        <v>111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9">
        <v>1</v>
      </c>
      <c r="H4" s="9">
        <v>2</v>
      </c>
      <c r="I4" s="9">
        <v>3</v>
      </c>
      <c r="J4" s="9" t="s">
        <v>5</v>
      </c>
      <c r="K4" s="47"/>
      <c r="L4" s="47"/>
      <c r="M4" s="49"/>
    </row>
    <row r="5" spans="1:13" ht="15" x14ac:dyDescent="0.2">
      <c r="A5" s="59" t="s">
        <v>59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1" t="s">
        <v>113</v>
      </c>
      <c r="B6" s="11" t="s">
        <v>114</v>
      </c>
      <c r="C6" s="11" t="s">
        <v>115</v>
      </c>
      <c r="D6" s="12" t="str">
        <f>"0,5986"</f>
        <v>0,5986</v>
      </c>
      <c r="E6" s="11" t="s">
        <v>19</v>
      </c>
      <c r="F6" s="11" t="s">
        <v>47</v>
      </c>
      <c r="G6" s="14" t="s">
        <v>116</v>
      </c>
      <c r="H6" s="14" t="s">
        <v>117</v>
      </c>
      <c r="I6" s="14" t="s">
        <v>81</v>
      </c>
      <c r="J6" s="13"/>
      <c r="K6" s="15" t="str">
        <f>"185,0"</f>
        <v>185,0</v>
      </c>
      <c r="L6" s="16" t="str">
        <f>"110,7410"</f>
        <v>110,7410</v>
      </c>
      <c r="M6" s="11" t="s">
        <v>23</v>
      </c>
    </row>
    <row r="8" spans="1:13" ht="15" x14ac:dyDescent="0.2">
      <c r="E8" s="35" t="s">
        <v>83</v>
      </c>
    </row>
    <row r="9" spans="1:13" ht="15" x14ac:dyDescent="0.2">
      <c r="E9" s="35" t="s">
        <v>84</v>
      </c>
    </row>
    <row r="10" spans="1:13" ht="15" x14ac:dyDescent="0.2">
      <c r="E10" s="35" t="s">
        <v>85</v>
      </c>
    </row>
    <row r="11" spans="1:13" ht="15" x14ac:dyDescent="0.2">
      <c r="E11" s="35" t="s">
        <v>86</v>
      </c>
    </row>
    <row r="12" spans="1:13" ht="15" x14ac:dyDescent="0.2">
      <c r="E12" s="35" t="s">
        <v>86</v>
      </c>
    </row>
    <row r="13" spans="1:13" ht="15" x14ac:dyDescent="0.2">
      <c r="E13" s="35" t="s">
        <v>87</v>
      </c>
    </row>
    <row r="14" spans="1:13" ht="15" x14ac:dyDescent="0.2">
      <c r="E14" s="35"/>
    </row>
    <row r="16" spans="1:13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96</v>
      </c>
    </row>
    <row r="20" spans="1:5" x14ac:dyDescent="0.2">
      <c r="A20" s="38" t="s">
        <v>112</v>
      </c>
      <c r="B20" s="4" t="s">
        <v>105</v>
      </c>
      <c r="C20" s="4" t="s">
        <v>107</v>
      </c>
      <c r="D20" s="43">
        <v>185</v>
      </c>
      <c r="E20" s="44">
        <v>110.74099451303501</v>
      </c>
    </row>
  </sheetData>
  <mergeCells count="12">
    <mergeCell ref="K3:K4"/>
    <mergeCell ref="L3:L4"/>
    <mergeCell ref="M3:M4"/>
    <mergeCell ref="A5:J5"/>
    <mergeCell ref="A1:M2"/>
    <mergeCell ref="A3:A4"/>
    <mergeCell ref="B3:B4"/>
    <mergeCell ref="C3:C4"/>
    <mergeCell ref="D3:D4"/>
    <mergeCell ref="E3:E4"/>
    <mergeCell ref="F3:F4"/>
    <mergeCell ref="G3:J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5">
    <pageSetUpPr fitToPage="1"/>
  </sheetPr>
  <dimension ref="A1:M54"/>
  <sheetViews>
    <sheetView workbookViewId="0">
      <selection sqref="A1:Y2"/>
    </sheetView>
  </sheetViews>
  <sheetFormatPr defaultRowHeight="12.75" x14ac:dyDescent="0.2"/>
  <cols>
    <col min="1" max="1" width="26" style="4" bestFit="1" customWidth="1"/>
    <col min="2" max="2" width="28.425781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.5703125" style="4" bestFit="1" customWidth="1"/>
    <col min="7" max="9" width="5.5703125" style="3" customWidth="1"/>
    <col min="10" max="10" width="4.85546875" style="3" customWidth="1"/>
    <col min="11" max="11" width="7.85546875" style="7" bestFit="1" customWidth="1"/>
    <col min="12" max="12" width="8.5703125" style="8" bestFit="1" customWidth="1"/>
    <col min="13" max="13" width="13.7109375" style="4" bestFit="1" customWidth="1"/>
    <col min="14" max="16384" width="9.140625" style="3"/>
  </cols>
  <sheetData>
    <row r="1" spans="1:13" s="2" customFormat="1" ht="29.1" customHeight="1" x14ac:dyDescent="0.2">
      <c r="A1" s="61" t="s">
        <v>11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1"/>
    </row>
    <row r="2" spans="1:13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4"/>
    </row>
    <row r="3" spans="1:13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12</v>
      </c>
      <c r="E3" s="45" t="s">
        <v>4</v>
      </c>
      <c r="F3" s="45" t="s">
        <v>7</v>
      </c>
      <c r="G3" s="45" t="s">
        <v>13</v>
      </c>
      <c r="H3" s="45"/>
      <c r="I3" s="45"/>
      <c r="J3" s="45"/>
      <c r="K3" s="46" t="s">
        <v>110</v>
      </c>
      <c r="L3" s="46" t="s">
        <v>3</v>
      </c>
      <c r="M3" s="48" t="s">
        <v>2</v>
      </c>
    </row>
    <row r="4" spans="1:13" s="1" customFormat="1" ht="21" customHeight="1" thickBot="1" x14ac:dyDescent="0.25">
      <c r="A4" s="56"/>
      <c r="B4" s="58"/>
      <c r="C4" s="58"/>
      <c r="D4" s="47"/>
      <c r="E4" s="58"/>
      <c r="F4" s="58"/>
      <c r="G4" s="6">
        <v>1</v>
      </c>
      <c r="H4" s="6">
        <v>2</v>
      </c>
      <c r="I4" s="6">
        <v>3</v>
      </c>
      <c r="J4" s="6" t="s">
        <v>5</v>
      </c>
      <c r="K4" s="47"/>
      <c r="L4" s="47"/>
      <c r="M4" s="49"/>
    </row>
    <row r="5" spans="1:13" ht="15" x14ac:dyDescent="0.2">
      <c r="A5" s="59" t="s">
        <v>14</v>
      </c>
      <c r="B5" s="60"/>
      <c r="C5" s="60"/>
      <c r="D5" s="60"/>
      <c r="E5" s="60"/>
      <c r="F5" s="60"/>
      <c r="G5" s="60"/>
      <c r="H5" s="60"/>
      <c r="I5" s="60"/>
      <c r="J5" s="60"/>
    </row>
    <row r="6" spans="1:13" x14ac:dyDescent="0.2">
      <c r="A6" s="11" t="s">
        <v>16</v>
      </c>
      <c r="B6" s="11" t="s">
        <v>17</v>
      </c>
      <c r="C6" s="11" t="s">
        <v>18</v>
      </c>
      <c r="D6" s="12" t="str">
        <f>"0,7258"</f>
        <v>0,7258</v>
      </c>
      <c r="E6" s="11" t="s">
        <v>19</v>
      </c>
      <c r="F6" s="11" t="s">
        <v>20</v>
      </c>
      <c r="G6" s="13" t="s">
        <v>21</v>
      </c>
      <c r="H6" s="14" t="s">
        <v>21</v>
      </c>
      <c r="I6" s="13" t="s">
        <v>22</v>
      </c>
      <c r="J6" s="13"/>
      <c r="K6" s="15" t="str">
        <f>"90,0"</f>
        <v>90,0</v>
      </c>
      <c r="L6" s="16" t="str">
        <f>"65,9752"</f>
        <v>65,9752</v>
      </c>
      <c r="M6" s="11" t="s">
        <v>23</v>
      </c>
    </row>
    <row r="8" spans="1:13" ht="15" x14ac:dyDescent="0.2">
      <c r="A8" s="62" t="s">
        <v>24</v>
      </c>
      <c r="B8" s="63"/>
      <c r="C8" s="63"/>
      <c r="D8" s="63"/>
      <c r="E8" s="63"/>
      <c r="F8" s="63"/>
      <c r="G8" s="63"/>
      <c r="H8" s="63"/>
      <c r="I8" s="63"/>
      <c r="J8" s="63"/>
    </row>
    <row r="9" spans="1:13" x14ac:dyDescent="0.2">
      <c r="A9" s="11" t="s">
        <v>26</v>
      </c>
      <c r="B9" s="11" t="s">
        <v>27</v>
      </c>
      <c r="C9" s="11" t="s">
        <v>28</v>
      </c>
      <c r="D9" s="12" t="str">
        <f>"0,6701"</f>
        <v>0,6701</v>
      </c>
      <c r="E9" s="11" t="s">
        <v>19</v>
      </c>
      <c r="F9" s="11" t="s">
        <v>29</v>
      </c>
      <c r="G9" s="14" t="s">
        <v>30</v>
      </c>
      <c r="H9" s="13" t="s">
        <v>31</v>
      </c>
      <c r="I9" s="14" t="s">
        <v>31</v>
      </c>
      <c r="J9" s="13"/>
      <c r="K9" s="15" t="str">
        <f>"120,0"</f>
        <v>120,0</v>
      </c>
      <c r="L9" s="16" t="str">
        <f>"83,6285"</f>
        <v>83,6285</v>
      </c>
      <c r="M9" s="11" t="s">
        <v>32</v>
      </c>
    </row>
    <row r="11" spans="1:13" ht="15" x14ac:dyDescent="0.2">
      <c r="A11" s="62" t="s">
        <v>33</v>
      </c>
      <c r="B11" s="63"/>
      <c r="C11" s="63"/>
      <c r="D11" s="63"/>
      <c r="E11" s="63"/>
      <c r="F11" s="63"/>
      <c r="G11" s="63"/>
      <c r="H11" s="63"/>
      <c r="I11" s="63"/>
      <c r="J11" s="63"/>
    </row>
    <row r="12" spans="1:13" x14ac:dyDescent="0.2">
      <c r="A12" s="17" t="s">
        <v>35</v>
      </c>
      <c r="B12" s="17" t="s">
        <v>36</v>
      </c>
      <c r="C12" s="17" t="s">
        <v>37</v>
      </c>
      <c r="D12" s="18" t="str">
        <f>"0,6347"</f>
        <v>0,6347</v>
      </c>
      <c r="E12" s="17" t="s">
        <v>19</v>
      </c>
      <c r="F12" s="17" t="s">
        <v>38</v>
      </c>
      <c r="G12" s="20" t="s">
        <v>39</v>
      </c>
      <c r="H12" s="20" t="s">
        <v>31</v>
      </c>
      <c r="I12" s="19" t="s">
        <v>40</v>
      </c>
      <c r="J12" s="19"/>
      <c r="K12" s="21" t="str">
        <f>"120,0"</f>
        <v>120,0</v>
      </c>
      <c r="L12" s="22" t="str">
        <f>"93,6817"</f>
        <v>93,6817</v>
      </c>
      <c r="M12" s="17" t="s">
        <v>41</v>
      </c>
    </row>
    <row r="13" spans="1:13" x14ac:dyDescent="0.2">
      <c r="A13" s="23" t="s">
        <v>43</v>
      </c>
      <c r="B13" s="23" t="s">
        <v>44</v>
      </c>
      <c r="C13" s="23" t="s">
        <v>45</v>
      </c>
      <c r="D13" s="24" t="str">
        <f>"0,6224"</f>
        <v>0,6224</v>
      </c>
      <c r="E13" s="23" t="s">
        <v>46</v>
      </c>
      <c r="F13" s="23" t="s">
        <v>47</v>
      </c>
      <c r="G13" s="25" t="s">
        <v>48</v>
      </c>
      <c r="H13" s="25" t="s">
        <v>49</v>
      </c>
      <c r="I13" s="25" t="s">
        <v>50</v>
      </c>
      <c r="J13" s="25"/>
      <c r="K13" s="27" t="str">
        <f>"0.00"</f>
        <v>0.00</v>
      </c>
      <c r="L13" s="28" t="str">
        <f>"0,0000"</f>
        <v>0,0000</v>
      </c>
      <c r="M13" s="23" t="s">
        <v>51</v>
      </c>
    </row>
    <row r="14" spans="1:13" x14ac:dyDescent="0.2">
      <c r="A14" s="29" t="s">
        <v>53</v>
      </c>
      <c r="B14" s="29" t="s">
        <v>54</v>
      </c>
      <c r="C14" s="29" t="s">
        <v>55</v>
      </c>
      <c r="D14" s="30" t="str">
        <f>"0,6517"</f>
        <v>0,6517</v>
      </c>
      <c r="E14" s="29" t="s">
        <v>56</v>
      </c>
      <c r="F14" s="29" t="s">
        <v>47</v>
      </c>
      <c r="G14" s="32" t="s">
        <v>22</v>
      </c>
      <c r="H14" s="31" t="s">
        <v>57</v>
      </c>
      <c r="I14" s="31" t="s">
        <v>57</v>
      </c>
      <c r="J14" s="31"/>
      <c r="K14" s="33" t="str">
        <f>"95,0"</f>
        <v>95,0</v>
      </c>
      <c r="L14" s="34" t="str">
        <f>"61,9115"</f>
        <v>61,9115</v>
      </c>
      <c r="M14" s="29" t="s">
        <v>58</v>
      </c>
    </row>
    <row r="16" spans="1:13" ht="15" x14ac:dyDescent="0.2">
      <c r="A16" s="62" t="s">
        <v>59</v>
      </c>
      <c r="B16" s="63"/>
      <c r="C16" s="63"/>
      <c r="D16" s="63"/>
      <c r="E16" s="63"/>
      <c r="F16" s="63"/>
      <c r="G16" s="63"/>
      <c r="H16" s="63"/>
      <c r="I16" s="63"/>
      <c r="J16" s="63"/>
    </row>
    <row r="17" spans="1:13" x14ac:dyDescent="0.2">
      <c r="A17" s="11" t="s">
        <v>61</v>
      </c>
      <c r="B17" s="11" t="s">
        <v>62</v>
      </c>
      <c r="C17" s="11" t="s">
        <v>63</v>
      </c>
      <c r="D17" s="12" t="str">
        <f>"0,5930"</f>
        <v>0,5930</v>
      </c>
      <c r="E17" s="11" t="s">
        <v>19</v>
      </c>
      <c r="F17" s="11" t="s">
        <v>20</v>
      </c>
      <c r="G17" s="14" t="s">
        <v>40</v>
      </c>
      <c r="H17" s="14" t="s">
        <v>49</v>
      </c>
      <c r="I17" s="14" t="s">
        <v>64</v>
      </c>
      <c r="J17" s="13"/>
      <c r="K17" s="15" t="str">
        <f>"140,0"</f>
        <v>140,0</v>
      </c>
      <c r="L17" s="16" t="str">
        <f>"83,0200"</f>
        <v>83,0200</v>
      </c>
      <c r="M17" s="11" t="s">
        <v>23</v>
      </c>
    </row>
    <row r="19" spans="1:13" ht="15" x14ac:dyDescent="0.2">
      <c r="A19" s="62" t="s">
        <v>65</v>
      </c>
      <c r="B19" s="63"/>
      <c r="C19" s="63"/>
      <c r="D19" s="63"/>
      <c r="E19" s="63"/>
      <c r="F19" s="63"/>
      <c r="G19" s="63"/>
      <c r="H19" s="63"/>
      <c r="I19" s="63"/>
      <c r="J19" s="63"/>
    </row>
    <row r="20" spans="1:13" x14ac:dyDescent="0.2">
      <c r="A20" s="17" t="s">
        <v>67</v>
      </c>
      <c r="B20" s="17" t="s">
        <v>68</v>
      </c>
      <c r="C20" s="17" t="s">
        <v>69</v>
      </c>
      <c r="D20" s="18" t="str">
        <f>"0,5550"</f>
        <v>0,5550</v>
      </c>
      <c r="E20" s="17" t="s">
        <v>70</v>
      </c>
      <c r="F20" s="17" t="s">
        <v>47</v>
      </c>
      <c r="G20" s="19" t="s">
        <v>71</v>
      </c>
      <c r="H20" s="20" t="s">
        <v>71</v>
      </c>
      <c r="I20" s="20" t="s">
        <v>72</v>
      </c>
      <c r="J20" s="19"/>
      <c r="K20" s="21" t="str">
        <f>"187,5"</f>
        <v>187,5</v>
      </c>
      <c r="L20" s="22" t="str">
        <f>"104,0625"</f>
        <v>104,0625</v>
      </c>
      <c r="M20" s="17" t="s">
        <v>73</v>
      </c>
    </row>
    <row r="21" spans="1:13" x14ac:dyDescent="0.2">
      <c r="A21" s="29" t="s">
        <v>67</v>
      </c>
      <c r="B21" s="29" t="s">
        <v>74</v>
      </c>
      <c r="C21" s="29" t="s">
        <v>69</v>
      </c>
      <c r="D21" s="30" t="str">
        <f>"0,5550"</f>
        <v>0,5550</v>
      </c>
      <c r="E21" s="29" t="s">
        <v>70</v>
      </c>
      <c r="F21" s="29" t="s">
        <v>47</v>
      </c>
      <c r="G21" s="31" t="s">
        <v>71</v>
      </c>
      <c r="H21" s="32" t="s">
        <v>71</v>
      </c>
      <c r="I21" s="32" t="s">
        <v>72</v>
      </c>
      <c r="J21" s="31"/>
      <c r="K21" s="33" t="str">
        <f>"187,5"</f>
        <v>187,5</v>
      </c>
      <c r="L21" s="34" t="str">
        <f>"104,0625"</f>
        <v>104,0625</v>
      </c>
      <c r="M21" s="29" t="s">
        <v>73</v>
      </c>
    </row>
    <row r="23" spans="1:13" ht="15" x14ac:dyDescent="0.2">
      <c r="A23" s="62" t="s">
        <v>75</v>
      </c>
      <c r="B23" s="63"/>
      <c r="C23" s="63"/>
      <c r="D23" s="63"/>
      <c r="E23" s="63"/>
      <c r="F23" s="63"/>
      <c r="G23" s="63"/>
      <c r="H23" s="63"/>
      <c r="I23" s="63"/>
      <c r="J23" s="63"/>
    </row>
    <row r="24" spans="1:13" x14ac:dyDescent="0.2">
      <c r="A24" s="11" t="s">
        <v>77</v>
      </c>
      <c r="B24" s="11" t="s">
        <v>78</v>
      </c>
      <c r="C24" s="11" t="s">
        <v>79</v>
      </c>
      <c r="D24" s="12" t="str">
        <f>"0,5210"</f>
        <v>0,5210</v>
      </c>
      <c r="E24" s="11" t="s">
        <v>19</v>
      </c>
      <c r="F24" s="11" t="s">
        <v>47</v>
      </c>
      <c r="G24" s="14" t="s">
        <v>80</v>
      </c>
      <c r="H24" s="13" t="s">
        <v>81</v>
      </c>
      <c r="I24" s="14" t="s">
        <v>81</v>
      </c>
      <c r="J24" s="13"/>
      <c r="K24" s="15" t="str">
        <f>"185,0"</f>
        <v>185,0</v>
      </c>
      <c r="L24" s="16" t="str">
        <f>"96,3850"</f>
        <v>96,3850</v>
      </c>
      <c r="M24" s="11" t="s">
        <v>82</v>
      </c>
    </row>
    <row r="26" spans="1:13" ht="15" x14ac:dyDescent="0.2">
      <c r="E26" s="35" t="s">
        <v>83</v>
      </c>
    </row>
    <row r="27" spans="1:13" ht="15" x14ac:dyDescent="0.2">
      <c r="E27" s="35" t="s">
        <v>84</v>
      </c>
    </row>
    <row r="28" spans="1:13" ht="15" x14ac:dyDescent="0.2">
      <c r="E28" s="35" t="s">
        <v>85</v>
      </c>
    </row>
    <row r="29" spans="1:13" ht="15" x14ac:dyDescent="0.2">
      <c r="E29" s="35" t="s">
        <v>86</v>
      </c>
    </row>
    <row r="30" spans="1:13" ht="15" x14ac:dyDescent="0.2">
      <c r="E30" s="35" t="s">
        <v>86</v>
      </c>
    </row>
    <row r="31" spans="1:13" ht="15" x14ac:dyDescent="0.2">
      <c r="E31" s="35" t="s">
        <v>87</v>
      </c>
    </row>
    <row r="32" spans="1:13" ht="15" x14ac:dyDescent="0.2">
      <c r="E32" s="35"/>
    </row>
    <row r="34" spans="1:5" ht="18" x14ac:dyDescent="0.25">
      <c r="A34" s="36" t="s">
        <v>88</v>
      </c>
      <c r="B34" s="36"/>
    </row>
    <row r="35" spans="1:5" ht="15" x14ac:dyDescent="0.2">
      <c r="A35" s="37" t="s">
        <v>89</v>
      </c>
      <c r="B35" s="37"/>
    </row>
    <row r="36" spans="1:5" ht="14.25" x14ac:dyDescent="0.2">
      <c r="A36" s="39"/>
      <c r="B36" s="40" t="s">
        <v>90</v>
      </c>
    </row>
    <row r="37" spans="1:5" ht="15" x14ac:dyDescent="0.2">
      <c r="A37" s="41" t="s">
        <v>91</v>
      </c>
      <c r="B37" s="41" t="s">
        <v>92</v>
      </c>
      <c r="C37" s="41" t="s">
        <v>93</v>
      </c>
      <c r="D37" s="42" t="s">
        <v>95</v>
      </c>
      <c r="E37" s="41" t="s">
        <v>96</v>
      </c>
    </row>
    <row r="38" spans="1:5" x14ac:dyDescent="0.2">
      <c r="A38" s="38" t="s">
        <v>34</v>
      </c>
      <c r="B38" s="4" t="s">
        <v>97</v>
      </c>
      <c r="C38" s="4" t="s">
        <v>98</v>
      </c>
      <c r="D38" s="43">
        <v>120</v>
      </c>
      <c r="E38" s="44">
        <v>93.681720042228704</v>
      </c>
    </row>
    <row r="39" spans="1:5" x14ac:dyDescent="0.2">
      <c r="A39" s="38" t="s">
        <v>25</v>
      </c>
      <c r="B39" s="4" t="s">
        <v>99</v>
      </c>
      <c r="C39" s="4" t="s">
        <v>100</v>
      </c>
      <c r="D39" s="43">
        <v>120</v>
      </c>
      <c r="E39" s="44">
        <v>83.628476715087899</v>
      </c>
    </row>
    <row r="41" spans="1:5" ht="14.25" x14ac:dyDescent="0.2">
      <c r="A41" s="39"/>
      <c r="B41" s="40" t="s">
        <v>101</v>
      </c>
    </row>
    <row r="42" spans="1:5" ht="15" x14ac:dyDescent="0.2">
      <c r="A42" s="41" t="s">
        <v>91</v>
      </c>
      <c r="B42" s="41" t="s">
        <v>92</v>
      </c>
      <c r="C42" s="41" t="s">
        <v>93</v>
      </c>
      <c r="D42" s="42" t="s">
        <v>95</v>
      </c>
      <c r="E42" s="41" t="s">
        <v>96</v>
      </c>
    </row>
    <row r="43" spans="1:5" x14ac:dyDescent="0.2">
      <c r="A43" s="38" t="s">
        <v>66</v>
      </c>
      <c r="B43" s="4" t="s">
        <v>102</v>
      </c>
      <c r="C43" s="4" t="s">
        <v>103</v>
      </c>
      <c r="D43" s="43">
        <v>187.5</v>
      </c>
      <c r="E43" s="44">
        <v>104.062501341105</v>
      </c>
    </row>
    <row r="44" spans="1:5" x14ac:dyDescent="0.2">
      <c r="A44" s="38" t="s">
        <v>15</v>
      </c>
      <c r="B44" s="4" t="s">
        <v>102</v>
      </c>
      <c r="C44" s="4" t="s">
        <v>104</v>
      </c>
      <c r="D44" s="43">
        <v>90</v>
      </c>
      <c r="E44" s="44">
        <v>65.975217980146397</v>
      </c>
    </row>
    <row r="46" spans="1:5" ht="14.25" x14ac:dyDescent="0.2">
      <c r="A46" s="39"/>
      <c r="B46" s="40" t="s">
        <v>105</v>
      </c>
    </row>
    <row r="47" spans="1:5" ht="15" x14ac:dyDescent="0.2">
      <c r="A47" s="41" t="s">
        <v>91</v>
      </c>
      <c r="B47" s="41" t="s">
        <v>92</v>
      </c>
      <c r="C47" s="41" t="s">
        <v>93</v>
      </c>
      <c r="D47" s="42" t="s">
        <v>95</v>
      </c>
      <c r="E47" s="41" t="s">
        <v>96</v>
      </c>
    </row>
    <row r="48" spans="1:5" x14ac:dyDescent="0.2">
      <c r="A48" s="38" t="s">
        <v>66</v>
      </c>
      <c r="B48" s="4" t="s">
        <v>105</v>
      </c>
      <c r="C48" s="4" t="s">
        <v>103</v>
      </c>
      <c r="D48" s="43">
        <v>187.5</v>
      </c>
      <c r="E48" s="44">
        <v>104.062501341105</v>
      </c>
    </row>
    <row r="49" spans="1:5" x14ac:dyDescent="0.2">
      <c r="A49" s="38" t="s">
        <v>76</v>
      </c>
      <c r="B49" s="4" t="s">
        <v>105</v>
      </c>
      <c r="C49" s="4" t="s">
        <v>106</v>
      </c>
      <c r="D49" s="43">
        <v>185</v>
      </c>
      <c r="E49" s="44">
        <v>96.385005116462693</v>
      </c>
    </row>
    <row r="50" spans="1:5" x14ac:dyDescent="0.2">
      <c r="A50" s="38" t="s">
        <v>60</v>
      </c>
      <c r="B50" s="4" t="s">
        <v>105</v>
      </c>
      <c r="C50" s="4" t="s">
        <v>107</v>
      </c>
      <c r="D50" s="43">
        <v>140</v>
      </c>
      <c r="E50" s="44">
        <v>83.019999265670805</v>
      </c>
    </row>
    <row r="52" spans="1:5" ht="14.25" x14ac:dyDescent="0.2">
      <c r="A52" s="39"/>
      <c r="B52" s="40" t="s">
        <v>108</v>
      </c>
    </row>
    <row r="53" spans="1:5" ht="15" x14ac:dyDescent="0.2">
      <c r="A53" s="41" t="s">
        <v>91</v>
      </c>
      <c r="B53" s="41" t="s">
        <v>92</v>
      </c>
      <c r="C53" s="41" t="s">
        <v>93</v>
      </c>
      <c r="D53" s="42" t="s">
        <v>95</v>
      </c>
      <c r="E53" s="41" t="s">
        <v>96</v>
      </c>
    </row>
    <row r="54" spans="1:5" x14ac:dyDescent="0.2">
      <c r="A54" s="38" t="s">
        <v>52</v>
      </c>
      <c r="B54" s="4" t="s">
        <v>109</v>
      </c>
      <c r="C54" s="4" t="s">
        <v>98</v>
      </c>
      <c r="D54" s="43">
        <v>95</v>
      </c>
      <c r="E54" s="44">
        <v>61.911501884460499</v>
      </c>
    </row>
  </sheetData>
  <mergeCells count="17">
    <mergeCell ref="D3:D4"/>
    <mergeCell ref="K3:K4"/>
    <mergeCell ref="L3:L4"/>
    <mergeCell ref="A1:M2"/>
    <mergeCell ref="G3:J3"/>
    <mergeCell ref="A3:A4"/>
    <mergeCell ref="B3:B4"/>
    <mergeCell ref="C3:C4"/>
    <mergeCell ref="M3:M4"/>
    <mergeCell ref="F3:F4"/>
    <mergeCell ref="E3:E4"/>
    <mergeCell ref="A23:J23"/>
    <mergeCell ref="A5:J5"/>
    <mergeCell ref="A8:J8"/>
    <mergeCell ref="A11:J11"/>
    <mergeCell ref="A16:J16"/>
    <mergeCell ref="A19:J19"/>
  </mergeCells>
  <phoneticPr fontId="0" type="noConversion"/>
  <pageMargins left="0.19685039370078741" right="0.47244094488188981" top="0.43307086614173229" bottom="0.47244094488188981" header="0.51181102362204722" footer="0.51181102362204722"/>
  <pageSetup scale="58" fitToHeight="100" orientation="landscape" horizontalDpi="300" verticalDpi="300" r:id="rId1"/>
  <headerFooter alignWithMargins="0">
    <oddFooter>&amp;L&amp;G&amp;R&amp;D&amp;T&amp;P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20"/>
  <sheetViews>
    <sheetView workbookViewId="0">
      <selection activeCell="A3" sqref="A3:A4"/>
    </sheetView>
  </sheetViews>
  <sheetFormatPr defaultRowHeight="12.75" x14ac:dyDescent="0.2"/>
  <cols>
    <col min="1" max="1" width="26" style="4" bestFit="1" customWidth="1"/>
    <col min="2" max="2" width="26.28515625" style="4" bestFit="1" customWidth="1"/>
    <col min="3" max="3" width="15.5703125" style="4" bestFit="1" customWidth="1"/>
    <col min="4" max="4" width="11.85546875" style="5" bestFit="1" customWidth="1"/>
    <col min="5" max="5" width="22.7109375" style="4" bestFit="1" customWidth="1"/>
    <col min="6" max="6" width="31.5703125" style="4" bestFit="1" customWidth="1"/>
    <col min="7" max="7" width="5" style="3" customWidth="1"/>
    <col min="8" max="8" width="10.42578125" style="3" customWidth="1"/>
    <col min="9" max="9" width="7.85546875" style="7" bestFit="1" customWidth="1"/>
    <col min="10" max="10" width="9.5703125" style="8" bestFit="1" customWidth="1"/>
    <col min="11" max="11" width="8.85546875" style="4" bestFit="1" customWidth="1"/>
    <col min="12" max="16384" width="9.140625" style="3"/>
  </cols>
  <sheetData>
    <row r="1" spans="1:11" s="2" customFormat="1" ht="29.1" customHeight="1" x14ac:dyDescent="0.2">
      <c r="A1" s="61" t="s">
        <v>280</v>
      </c>
      <c r="B1" s="50"/>
      <c r="C1" s="50"/>
      <c r="D1" s="50"/>
      <c r="E1" s="50"/>
      <c r="F1" s="50"/>
      <c r="G1" s="50"/>
      <c r="H1" s="50"/>
      <c r="I1" s="50"/>
      <c r="J1" s="50"/>
      <c r="K1" s="51"/>
    </row>
    <row r="2" spans="1:11" s="2" customFormat="1" ht="62.1" customHeight="1" thickBot="1" x14ac:dyDescent="0.25">
      <c r="A2" s="52"/>
      <c r="B2" s="53"/>
      <c r="C2" s="53"/>
      <c r="D2" s="53"/>
      <c r="E2" s="53"/>
      <c r="F2" s="53"/>
      <c r="G2" s="53"/>
      <c r="H2" s="53"/>
      <c r="I2" s="53"/>
      <c r="J2" s="53"/>
      <c r="K2" s="54"/>
    </row>
    <row r="3" spans="1:11" s="1" customFormat="1" ht="12.75" customHeight="1" x14ac:dyDescent="0.2">
      <c r="A3" s="55" t="s">
        <v>0</v>
      </c>
      <c r="B3" s="57" t="s">
        <v>6</v>
      </c>
      <c r="C3" s="57" t="s">
        <v>10</v>
      </c>
      <c r="D3" s="46" t="s">
        <v>279</v>
      </c>
      <c r="E3" s="45" t="s">
        <v>4</v>
      </c>
      <c r="F3" s="45" t="s">
        <v>7</v>
      </c>
      <c r="G3" s="45" t="s">
        <v>278</v>
      </c>
      <c r="H3" s="45"/>
      <c r="I3" s="46" t="s">
        <v>110</v>
      </c>
      <c r="J3" s="46" t="s">
        <v>3</v>
      </c>
      <c r="K3" s="48" t="s">
        <v>2</v>
      </c>
    </row>
    <row r="4" spans="1:11" s="1" customFormat="1" ht="21" customHeight="1" thickBot="1" x14ac:dyDescent="0.25">
      <c r="A4" s="56"/>
      <c r="B4" s="58"/>
      <c r="C4" s="58"/>
      <c r="D4" s="47"/>
      <c r="E4" s="58"/>
      <c r="F4" s="58"/>
      <c r="G4" s="10" t="s">
        <v>8</v>
      </c>
      <c r="H4" s="10" t="s">
        <v>9</v>
      </c>
      <c r="I4" s="47"/>
      <c r="J4" s="47"/>
      <c r="K4" s="49"/>
    </row>
    <row r="5" spans="1:11" ht="15" x14ac:dyDescent="0.2">
      <c r="A5" s="59" t="s">
        <v>59</v>
      </c>
      <c r="B5" s="60"/>
      <c r="C5" s="60"/>
      <c r="D5" s="60"/>
      <c r="E5" s="60"/>
      <c r="F5" s="60"/>
      <c r="G5" s="60"/>
      <c r="H5" s="60"/>
    </row>
    <row r="6" spans="1:11" x14ac:dyDescent="0.2">
      <c r="A6" s="11" t="s">
        <v>61</v>
      </c>
      <c r="B6" s="11" t="s">
        <v>62</v>
      </c>
      <c r="C6" s="11" t="s">
        <v>63</v>
      </c>
      <c r="D6" s="12" t="str">
        <f>"0,7291"</f>
        <v>0,7291</v>
      </c>
      <c r="E6" s="11" t="s">
        <v>19</v>
      </c>
      <c r="F6" s="11" t="s">
        <v>20</v>
      </c>
      <c r="G6" s="14" t="s">
        <v>21</v>
      </c>
      <c r="H6" s="14" t="s">
        <v>277</v>
      </c>
      <c r="I6" s="15" t="str">
        <f>"2340,0"</f>
        <v>2340,0</v>
      </c>
      <c r="J6" s="16" t="str">
        <f>"1706,0940"</f>
        <v>1706,0940</v>
      </c>
      <c r="K6" s="11" t="s">
        <v>23</v>
      </c>
    </row>
    <row r="8" spans="1:11" ht="15" x14ac:dyDescent="0.2">
      <c r="E8" s="35" t="s">
        <v>83</v>
      </c>
    </row>
    <row r="9" spans="1:11" ht="15" x14ac:dyDescent="0.2">
      <c r="E9" s="35" t="s">
        <v>84</v>
      </c>
    </row>
    <row r="10" spans="1:11" ht="15" x14ac:dyDescent="0.2">
      <c r="E10" s="35" t="s">
        <v>85</v>
      </c>
    </row>
    <row r="11" spans="1:11" ht="15" x14ac:dyDescent="0.2">
      <c r="E11" s="35" t="s">
        <v>86</v>
      </c>
    </row>
    <row r="12" spans="1:11" ht="15" x14ac:dyDescent="0.2">
      <c r="E12" s="35" t="s">
        <v>86</v>
      </c>
    </row>
    <row r="13" spans="1:11" ht="15" x14ac:dyDescent="0.2">
      <c r="E13" s="35" t="s">
        <v>87</v>
      </c>
    </row>
    <row r="14" spans="1:11" ht="15" x14ac:dyDescent="0.2">
      <c r="E14" s="35"/>
    </row>
    <row r="16" spans="1:11" ht="18" x14ac:dyDescent="0.25">
      <c r="A16" s="36" t="s">
        <v>88</v>
      </c>
      <c r="B16" s="36"/>
    </row>
    <row r="17" spans="1:5" ht="15" x14ac:dyDescent="0.2">
      <c r="A17" s="37" t="s">
        <v>89</v>
      </c>
      <c r="B17" s="37"/>
    </row>
    <row r="18" spans="1:5" ht="14.25" x14ac:dyDescent="0.2">
      <c r="A18" s="39"/>
      <c r="B18" s="40" t="s">
        <v>105</v>
      </c>
    </row>
    <row r="19" spans="1:5" ht="15" x14ac:dyDescent="0.2">
      <c r="A19" s="41" t="s">
        <v>91</v>
      </c>
      <c r="B19" s="41" t="s">
        <v>92</v>
      </c>
      <c r="C19" s="41" t="s">
        <v>93</v>
      </c>
      <c r="D19" s="42" t="s">
        <v>95</v>
      </c>
      <c r="E19" s="41" t="s">
        <v>276</v>
      </c>
    </row>
    <row r="20" spans="1:5" x14ac:dyDescent="0.2">
      <c r="A20" s="38" t="s">
        <v>60</v>
      </c>
      <c r="B20" s="4" t="s">
        <v>105</v>
      </c>
      <c r="C20" s="4" t="s">
        <v>107</v>
      </c>
      <c r="D20" s="43">
        <v>2340</v>
      </c>
      <c r="E20" s="44">
        <v>1706.09397411346</v>
      </c>
    </row>
  </sheetData>
  <mergeCells count="12">
    <mergeCell ref="K3:K4"/>
    <mergeCell ref="A5:H5"/>
    <mergeCell ref="A1:K2"/>
    <mergeCell ref="A3:A4"/>
    <mergeCell ref="B3:B4"/>
    <mergeCell ref="C3:C4"/>
    <mergeCell ref="D3:D4"/>
    <mergeCell ref="E3:E4"/>
    <mergeCell ref="F3:F4"/>
    <mergeCell ref="G3:H3"/>
    <mergeCell ref="I3:I4"/>
    <mergeCell ref="J3:J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16</vt:i4>
      </vt:variant>
    </vt:vector>
  </HeadingPairs>
  <TitlesOfParts>
    <vt:vector size="16" baseType="lpstr">
      <vt:lpstr>Двоеборье проф.</vt:lpstr>
      <vt:lpstr>Двоеборье люб</vt:lpstr>
      <vt:lpstr>ПРО тяга б.э.</vt:lpstr>
      <vt:lpstr>Люб. тяга б.э.</vt:lpstr>
      <vt:lpstr>Люб. жим софт мн.петельная</vt:lpstr>
      <vt:lpstr>ПРО жим софт 1 петельная</vt:lpstr>
      <vt:lpstr>ПРО жим б.э.</vt:lpstr>
      <vt:lpstr>Люб. жим б.э.</vt:lpstr>
      <vt:lpstr>Любители В.Ж. многоповторный</vt:lpstr>
      <vt:lpstr>Пауэрспорт Любители</vt:lpstr>
      <vt:lpstr>Бицепс Любители</vt:lpstr>
      <vt:lpstr>Жим стоя Профессионалы</vt:lpstr>
      <vt:lpstr>Русская тяга люб. 200 кг.</vt:lpstr>
      <vt:lpstr>Русская тяга люб. 100 кг.</vt:lpstr>
      <vt:lpstr>Русская тяга люб. 75 кг.</vt:lpstr>
      <vt:lpstr>РЖ любители 55 кг.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Tomchin</dc:creator>
  <cp:lastModifiedBy>NPA</cp:lastModifiedBy>
  <cp:lastPrinted>2015-07-16T19:10:53Z</cp:lastPrinted>
  <dcterms:created xsi:type="dcterms:W3CDTF">2002-06-16T13:36:44Z</dcterms:created>
  <dcterms:modified xsi:type="dcterms:W3CDTF">2022-11-02T04:16:16Z</dcterms:modified>
</cp:coreProperties>
</file>