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Андрей\2020\Протоколы 2020\"/>
    </mc:Choice>
  </mc:AlternateContent>
  <bookViews>
    <workbookView xWindow="0" yWindow="0" windowWidth="28800" windowHeight="12300"/>
  </bookViews>
  <sheets>
    <sheet name="Русская тяга проф. 200 кг." sheetId="28" r:id="rId1"/>
    <sheet name="Русская тяга люб. 75 кг." sheetId="26" r:id="rId2"/>
    <sheet name="РЖ любители 55 кг." sheetId="25" r:id="rId3"/>
    <sheet name="РЖ Проф 55 кг." sheetId="24" r:id="rId4"/>
    <sheet name="Пауэрспорт Профессионалы" sheetId="23" r:id="rId5"/>
    <sheet name="Бицепс Профессионалы" sheetId="21" r:id="rId6"/>
    <sheet name="Бицепс Любители" sheetId="20" r:id="rId7"/>
    <sheet name="Жим стоя Профессионалы" sheetId="19" r:id="rId8"/>
    <sheet name="Двоеборье про" sheetId="18" r:id="rId9"/>
    <sheet name="Люб. присед б.э." sheetId="17" r:id="rId10"/>
    <sheet name="ПРО тяга б.э." sheetId="16" r:id="rId11"/>
    <sheet name="Люб. тяга б.э." sheetId="15" r:id="rId12"/>
    <sheet name="Люб. жим софт мн.петельная" sheetId="14" r:id="rId13"/>
    <sheet name="Парная тяга. Любители." sheetId="13" r:id="rId14"/>
    <sheet name="ПРО жим б.э." sheetId="12" r:id="rId15"/>
    <sheet name="Люб. жим б.э." sheetId="11" r:id="rId16"/>
    <sheet name="СОВ жим" sheetId="10" r:id="rId17"/>
    <sheet name="ПРО Военный жим класс." sheetId="9" r:id="rId18"/>
    <sheet name="Люб. Военный жим класс." sheetId="8" r:id="rId19"/>
    <sheet name="ПРО ПЛ. б.э." sheetId="7" r:id="rId20"/>
    <sheet name="Люб. ПЛ. б.э." sheetId="6" r:id="rId21"/>
    <sheet name="Люб. ПЛ. СТАНДАРТ" sheetId="5" r:id="rId22"/>
  </sheets>
  <definedNames>
    <definedName name="_FilterDatabase" localSheetId="21" hidden="1">'Люб. ПЛ. СТАНДАРТ'!$A$1:$S$3</definedName>
  </definedNames>
  <calcPr calcId="162913" concurrentCalc="0"/>
</workbook>
</file>

<file path=xl/calcChain.xml><?xml version="1.0" encoding="utf-8"?>
<calcChain xmlns="http://schemas.openxmlformats.org/spreadsheetml/2006/main">
  <c r="D6" i="13" l="1"/>
  <c r="D7" i="13"/>
  <c r="J6" i="28"/>
  <c r="I6" i="28"/>
  <c r="D6" i="28"/>
  <c r="J7" i="26"/>
  <c r="I7" i="26"/>
  <c r="D7" i="26"/>
  <c r="J6" i="26"/>
  <c r="I6" i="26"/>
  <c r="D6" i="26"/>
  <c r="J6" i="25"/>
  <c r="I6" i="25"/>
  <c r="D6" i="25"/>
  <c r="J6" i="24"/>
  <c r="I6" i="24"/>
  <c r="D6" i="24"/>
  <c r="P7" i="23"/>
  <c r="O7" i="23"/>
  <c r="D7" i="23"/>
  <c r="P6" i="23"/>
  <c r="O6" i="23"/>
  <c r="D6" i="23"/>
  <c r="L6" i="21"/>
  <c r="K6" i="21"/>
  <c r="D6" i="21"/>
  <c r="L31" i="20"/>
  <c r="K31" i="20"/>
  <c r="D31" i="20"/>
  <c r="L28" i="20"/>
  <c r="K28" i="20"/>
  <c r="D28" i="20"/>
  <c r="L25" i="20"/>
  <c r="K25" i="20"/>
  <c r="D25" i="20"/>
  <c r="L24" i="20"/>
  <c r="K24" i="20"/>
  <c r="D24" i="20"/>
  <c r="L23" i="20"/>
  <c r="K23" i="20"/>
  <c r="D23" i="20"/>
  <c r="L20" i="20"/>
  <c r="K20" i="20"/>
  <c r="D20" i="20"/>
  <c r="L19" i="20"/>
  <c r="K19" i="20"/>
  <c r="D19" i="20"/>
  <c r="L16" i="20"/>
  <c r="K16" i="20"/>
  <c r="D16" i="20"/>
  <c r="L15" i="20"/>
  <c r="K15" i="20"/>
  <c r="D15" i="20"/>
  <c r="L12" i="20"/>
  <c r="K12" i="20"/>
  <c r="D12" i="20"/>
  <c r="L9" i="20"/>
  <c r="K9" i="20"/>
  <c r="D9" i="20"/>
  <c r="L6" i="20"/>
  <c r="K6" i="20"/>
  <c r="D6" i="20"/>
  <c r="L6" i="19"/>
  <c r="K6" i="19"/>
  <c r="D6" i="19"/>
  <c r="P6" i="18"/>
  <c r="O6" i="18"/>
  <c r="D6" i="18"/>
  <c r="L16" i="17"/>
  <c r="K16" i="17"/>
  <c r="D16" i="17"/>
  <c r="L13" i="17"/>
  <c r="K13" i="17"/>
  <c r="D13" i="17"/>
  <c r="L10" i="17"/>
  <c r="K10" i="17"/>
  <c r="D10" i="17"/>
  <c r="L9" i="17"/>
  <c r="K9" i="17"/>
  <c r="D9" i="17"/>
  <c r="L6" i="17"/>
  <c r="K6" i="17"/>
  <c r="D6" i="17"/>
  <c r="L6" i="16"/>
  <c r="K6" i="16"/>
  <c r="D6" i="16"/>
  <c r="L25" i="15"/>
  <c r="K25" i="15"/>
  <c r="D25" i="15"/>
  <c r="L22" i="15"/>
  <c r="K22" i="15"/>
  <c r="D22" i="15"/>
  <c r="L19" i="15"/>
  <c r="K19" i="15"/>
  <c r="D19" i="15"/>
  <c r="L16" i="15"/>
  <c r="K16" i="15"/>
  <c r="D16" i="15"/>
  <c r="L13" i="15"/>
  <c r="K13" i="15"/>
  <c r="D13" i="15"/>
  <c r="L10" i="15"/>
  <c r="K10" i="15"/>
  <c r="D10" i="15"/>
  <c r="L9" i="15"/>
  <c r="K9" i="15"/>
  <c r="D9" i="15"/>
  <c r="L6" i="15"/>
  <c r="K6" i="15"/>
  <c r="D6" i="15"/>
  <c r="L11" i="14"/>
  <c r="K11" i="14"/>
  <c r="D11" i="14"/>
  <c r="L10" i="14"/>
  <c r="K10" i="14"/>
  <c r="D10" i="14"/>
  <c r="L7" i="14"/>
  <c r="K7" i="14"/>
  <c r="D7" i="14"/>
  <c r="L6" i="14"/>
  <c r="K6" i="14"/>
  <c r="D6" i="14"/>
  <c r="L7" i="12"/>
  <c r="K7" i="12"/>
  <c r="D7" i="12"/>
  <c r="L6" i="12"/>
  <c r="K6" i="12"/>
  <c r="D6" i="12"/>
  <c r="L45" i="11"/>
  <c r="K45" i="11"/>
  <c r="D45" i="11"/>
  <c r="L42" i="11"/>
  <c r="K42" i="11"/>
  <c r="D42" i="11"/>
  <c r="L41" i="11"/>
  <c r="K41" i="11"/>
  <c r="D41" i="11"/>
  <c r="L38" i="11"/>
  <c r="K38" i="11"/>
  <c r="D38" i="11"/>
  <c r="L37" i="11"/>
  <c r="K37" i="11"/>
  <c r="D37" i="11"/>
  <c r="L36" i="11"/>
  <c r="K36" i="11"/>
  <c r="D36" i="11"/>
  <c r="L35" i="11"/>
  <c r="K35" i="11"/>
  <c r="D35" i="11"/>
  <c r="L34" i="11"/>
  <c r="K34" i="11"/>
  <c r="D34" i="11"/>
  <c r="L33" i="11"/>
  <c r="K33" i="11"/>
  <c r="D33" i="11"/>
  <c r="L30" i="11"/>
  <c r="K30" i="11"/>
  <c r="D30" i="11"/>
  <c r="L27" i="11"/>
  <c r="K27" i="11"/>
  <c r="D27" i="11"/>
  <c r="L26" i="11"/>
  <c r="K26" i="11"/>
  <c r="D26" i="11"/>
  <c r="L23" i="11"/>
  <c r="K23" i="11"/>
  <c r="D23" i="11"/>
  <c r="L20" i="11"/>
  <c r="K20" i="11"/>
  <c r="D20" i="11"/>
  <c r="L17" i="11"/>
  <c r="K17" i="11"/>
  <c r="D17" i="11"/>
  <c r="L16" i="11"/>
  <c r="K16" i="11"/>
  <c r="D16" i="11"/>
  <c r="L13" i="11"/>
  <c r="K13" i="11"/>
  <c r="D13" i="11"/>
  <c r="L12" i="11"/>
  <c r="K12" i="11"/>
  <c r="D12" i="11"/>
  <c r="L9" i="11"/>
  <c r="K9" i="11"/>
  <c r="D9" i="11"/>
  <c r="L6" i="11"/>
  <c r="K6" i="11"/>
  <c r="D6" i="11"/>
  <c r="L6" i="10"/>
  <c r="K6" i="10"/>
  <c r="D6" i="10"/>
  <c r="L6" i="9"/>
  <c r="K6" i="9"/>
  <c r="D6" i="9"/>
  <c r="L14" i="8"/>
  <c r="K14" i="8"/>
  <c r="D14" i="8"/>
  <c r="L13" i="8"/>
  <c r="K13" i="8"/>
  <c r="D13" i="8"/>
  <c r="L10" i="8"/>
  <c r="K10" i="8"/>
  <c r="D10" i="8"/>
  <c r="L9" i="8"/>
  <c r="K9" i="8"/>
  <c r="D9" i="8"/>
  <c r="L6" i="8"/>
  <c r="K6" i="8"/>
  <c r="D6" i="8"/>
  <c r="T12" i="7"/>
  <c r="S12" i="7"/>
  <c r="D12" i="7"/>
  <c r="T9" i="7"/>
  <c r="S9" i="7"/>
  <c r="D9" i="7"/>
  <c r="T6" i="7"/>
  <c r="S6" i="7"/>
  <c r="D6" i="7"/>
  <c r="T20" i="6"/>
  <c r="S20" i="6"/>
  <c r="D20" i="6"/>
  <c r="T17" i="6"/>
  <c r="S17" i="6"/>
  <c r="D17" i="6"/>
  <c r="T16" i="6"/>
  <c r="S16" i="6"/>
  <c r="D16" i="6"/>
  <c r="T15" i="6"/>
  <c r="S15" i="6"/>
  <c r="D15" i="6"/>
  <c r="T12" i="6"/>
  <c r="S12" i="6"/>
  <c r="D12" i="6"/>
  <c r="T9" i="6"/>
  <c r="S9" i="6"/>
  <c r="D9" i="6"/>
  <c r="T6" i="6"/>
  <c r="S6" i="6"/>
  <c r="D6" i="6"/>
  <c r="T6" i="5"/>
  <c r="S6" i="5"/>
  <c r="D6" i="5"/>
</calcChain>
</file>

<file path=xl/sharedStrings.xml><?xml version="1.0" encoding="utf-8"?>
<sst xmlns="http://schemas.openxmlformats.org/spreadsheetml/2006/main" count="2077" uniqueCount="531">
  <si>
    <t>ФИО</t>
  </si>
  <si>
    <t>Сумма</t>
  </si>
  <si>
    <t>Тренер</t>
  </si>
  <si>
    <t>Очки</t>
  </si>
  <si>
    <t>Команда</t>
  </si>
  <si>
    <t>Рек</t>
  </si>
  <si>
    <t>Возрастная группа
Дата рождения/Возраст</t>
  </si>
  <si>
    <t>Город/Область</t>
  </si>
  <si>
    <t>Вес</t>
  </si>
  <si>
    <t>Повторы</t>
  </si>
  <si>
    <t>Собственный 
вес</t>
  </si>
  <si>
    <t>Shv/Mel</t>
  </si>
  <si>
    <t>Приседание</t>
  </si>
  <si>
    <t>Жим лёжа</t>
  </si>
  <si>
    <t>Становая тяга</t>
  </si>
  <si>
    <t>ВЕСОВАЯ КАТЕГОРИЯ   60</t>
  </si>
  <si>
    <t>Зиновьева Татьяна</t>
  </si>
  <si>
    <t>1. Зиновьева Татьяна</t>
  </si>
  <si>
    <t>Мастера 45 - 49 (24.04.1971)/49</t>
  </si>
  <si>
    <t>58,75</t>
  </si>
  <si>
    <t xml:space="preserve">West gym </t>
  </si>
  <si>
    <t xml:space="preserve">Курск/Курская область </t>
  </si>
  <si>
    <t>100,0</t>
  </si>
  <si>
    <t>50,0</t>
  </si>
  <si>
    <t>57,5</t>
  </si>
  <si>
    <t>67,5</t>
  </si>
  <si>
    <t>107,5</t>
  </si>
  <si>
    <t xml:space="preserve">Локтионова Илия </t>
  </si>
  <si>
    <t>Главный судья:</t>
  </si>
  <si>
    <t>Главный секретарь:</t>
  </si>
  <si>
    <t>Старший судья:</t>
  </si>
  <si>
    <t>Боковой судья:</t>
  </si>
  <si>
    <t xml:space="preserve">Абсолютный зачёт </t>
  </si>
  <si>
    <t xml:space="preserve">Женщины </t>
  </si>
  <si>
    <t xml:space="preserve">Мастера </t>
  </si>
  <si>
    <t xml:space="preserve">ФИО </t>
  </si>
  <si>
    <t xml:space="preserve">Возрастная группа </t>
  </si>
  <si>
    <t xml:space="preserve">Весовая </t>
  </si>
  <si>
    <t xml:space="preserve">Сумма </t>
  </si>
  <si>
    <t xml:space="preserve">Shv/Mel </t>
  </si>
  <si>
    <t xml:space="preserve">Мастера 45 - 49 </t>
  </si>
  <si>
    <t>60</t>
  </si>
  <si>
    <t>265,0</t>
  </si>
  <si>
    <t>265,6591</t>
  </si>
  <si>
    <t>Кубок Курской области
Любители пауэрлифтинг без экипировки
Курчатов/Курская область 30 - 31 октября 2020 г.</t>
  </si>
  <si>
    <t>ВЕСОВАЯ КАТЕГОРИЯ   56</t>
  </si>
  <si>
    <t>Шевченко Екатерина</t>
  </si>
  <si>
    <t>1. Шевченко Екатерина</t>
  </si>
  <si>
    <t>Открытая (07.07.1995)/25</t>
  </si>
  <si>
    <t>55,85</t>
  </si>
  <si>
    <t xml:space="preserve">Академия Силы </t>
  </si>
  <si>
    <t xml:space="preserve">Курчатов/Курская область </t>
  </si>
  <si>
    <t>75,0</t>
  </si>
  <si>
    <t>80,0</t>
  </si>
  <si>
    <t>87,5</t>
  </si>
  <si>
    <t>55,0</t>
  </si>
  <si>
    <t>60,0</t>
  </si>
  <si>
    <t>110,0</t>
  </si>
  <si>
    <t xml:space="preserve">Меркулов Виталий </t>
  </si>
  <si>
    <t>ВЕСОВАЯ КАТЕГОРИЯ   67.5</t>
  </si>
  <si>
    <t>Дудакова Анастасия</t>
  </si>
  <si>
    <t>1. Дудакова Анастасия</t>
  </si>
  <si>
    <t>Открытая (27.12.1995)/24</t>
  </si>
  <si>
    <t>64,50</t>
  </si>
  <si>
    <t>85,0</t>
  </si>
  <si>
    <t>90,0</t>
  </si>
  <si>
    <t>95,0</t>
  </si>
  <si>
    <t>72,5</t>
  </si>
  <si>
    <t>115,0</t>
  </si>
  <si>
    <t>ВЕСОВАЯ КАТЕГОРИЯ   82.5</t>
  </si>
  <si>
    <t>Шкляр Станислав</t>
  </si>
  <si>
    <t>1. Шкляр Станислав</t>
  </si>
  <si>
    <t>Юноши 16 - 17 (21.01.2003)/17</t>
  </si>
  <si>
    <t>81,45</t>
  </si>
  <si>
    <t>97,5</t>
  </si>
  <si>
    <t>70,0</t>
  </si>
  <si>
    <t>117,5</t>
  </si>
  <si>
    <t>ВЕСОВАЯ КАТЕГОРИЯ   90</t>
  </si>
  <si>
    <t>Обухов Игорь</t>
  </si>
  <si>
    <t>1. Обухов Игорь</t>
  </si>
  <si>
    <t>Открытая (07.11.1990)/29</t>
  </si>
  <si>
    <t>89,40</t>
  </si>
  <si>
    <t xml:space="preserve">лично </t>
  </si>
  <si>
    <t>180,0</t>
  </si>
  <si>
    <t>190,0</t>
  </si>
  <si>
    <t>150,0</t>
  </si>
  <si>
    <t>160,0</t>
  </si>
  <si>
    <t>165,0</t>
  </si>
  <si>
    <t>240,0</t>
  </si>
  <si>
    <t>250,0</t>
  </si>
  <si>
    <t>255,0</t>
  </si>
  <si>
    <t xml:space="preserve"> </t>
  </si>
  <si>
    <t>Петрухин Александр</t>
  </si>
  <si>
    <t>2. Петрухин Александр</t>
  </si>
  <si>
    <t>Открытая (26.02.1984)/36</t>
  </si>
  <si>
    <t>87,65</t>
  </si>
  <si>
    <t>135,0</t>
  </si>
  <si>
    <t>102,5</t>
  </si>
  <si>
    <t>200,0</t>
  </si>
  <si>
    <t>Минеев Александр</t>
  </si>
  <si>
    <t>3. Минеев Александр</t>
  </si>
  <si>
    <t>Открытая (01.12.1991)/28</t>
  </si>
  <si>
    <t>86,30</t>
  </si>
  <si>
    <t>120,0</t>
  </si>
  <si>
    <t>125,0</t>
  </si>
  <si>
    <t>112,5</t>
  </si>
  <si>
    <t>170,0</t>
  </si>
  <si>
    <t>ВЕСОВАЯ КАТЕГОРИЯ   100</t>
  </si>
  <si>
    <t>Яковлев Кирилл</t>
  </si>
  <si>
    <t>1. Яковлев Кирилл</t>
  </si>
  <si>
    <t>Юноши 14-15 (06.10.2006)/14</t>
  </si>
  <si>
    <t>96,60</t>
  </si>
  <si>
    <t>65,0</t>
  </si>
  <si>
    <t xml:space="preserve">Открытая </t>
  </si>
  <si>
    <t>56</t>
  </si>
  <si>
    <t>242,5</t>
  </si>
  <si>
    <t>221,6450</t>
  </si>
  <si>
    <t>67.5</t>
  </si>
  <si>
    <t>272,5</t>
  </si>
  <si>
    <t>220,7250</t>
  </si>
  <si>
    <t xml:space="preserve">Мужчины </t>
  </si>
  <si>
    <t xml:space="preserve">Юноши </t>
  </si>
  <si>
    <t xml:space="preserve">Юноши 14-15 </t>
  </si>
  <si>
    <t>100</t>
  </si>
  <si>
    <t>292,5</t>
  </si>
  <si>
    <t>202,5533</t>
  </si>
  <si>
    <t xml:space="preserve">Юноши 16 - 17 </t>
  </si>
  <si>
    <t>82.5</t>
  </si>
  <si>
    <t>285,0</t>
  </si>
  <si>
    <t>192,3288</t>
  </si>
  <si>
    <t>90</t>
  </si>
  <si>
    <t>610,0</t>
  </si>
  <si>
    <t>358,4970</t>
  </si>
  <si>
    <t>450,0</t>
  </si>
  <si>
    <t>267,7275</t>
  </si>
  <si>
    <t>407,5</t>
  </si>
  <si>
    <t>244,8667</t>
  </si>
  <si>
    <t>Кубок Курской области
ПРО пауэрлифтинг без экипировки
Курчатов/Курская область 30 - 31 октября 2020 г.</t>
  </si>
  <si>
    <t>ВЕСОВАЯ КАТЕГОРИЯ   52</t>
  </si>
  <si>
    <t>Малышева Татьяна</t>
  </si>
  <si>
    <t>1. Малышева Татьяна</t>
  </si>
  <si>
    <t>Открытая (01.02.1991)/29</t>
  </si>
  <si>
    <t>49,80</t>
  </si>
  <si>
    <t>30,0</t>
  </si>
  <si>
    <t>37,5</t>
  </si>
  <si>
    <t>42,5</t>
  </si>
  <si>
    <t>Алфёров Алексей</t>
  </si>
  <si>
    <t>1. Алфёров Алексей</t>
  </si>
  <si>
    <t>Открытая (10.11.1986)/33</t>
  </si>
  <si>
    <t>79,50</t>
  </si>
  <si>
    <t>130,0</t>
  </si>
  <si>
    <t>140,0</t>
  </si>
  <si>
    <t>Евдокимов Сергей</t>
  </si>
  <si>
    <t>1. Евдокимов Сергей</t>
  </si>
  <si>
    <t>Юноши 16 - 17 (09.07.2003)/17</t>
  </si>
  <si>
    <t>97,20</t>
  </si>
  <si>
    <t>92,5</t>
  </si>
  <si>
    <t>52</t>
  </si>
  <si>
    <t>217,5</t>
  </si>
  <si>
    <t>218,3917</t>
  </si>
  <si>
    <t>277,5</t>
  </si>
  <si>
    <t>168,2216</t>
  </si>
  <si>
    <t>357,5</t>
  </si>
  <si>
    <t>227,2985</t>
  </si>
  <si>
    <t>Кубок Курской области
Любители военный жим классический
Курчатов/Курская область 30 - 31 октября 2020 г.</t>
  </si>
  <si>
    <t>ВЕСОВАЯ КАТЕГОРИЯ   75</t>
  </si>
  <si>
    <t>Зубарев Андрей</t>
  </si>
  <si>
    <t>1. Зубарев Андрей</t>
  </si>
  <si>
    <t>Открытая (06.01.1985)/35</t>
  </si>
  <si>
    <t>74,70</t>
  </si>
  <si>
    <t xml:space="preserve">Стальное Звено - Сталь Белогорья </t>
  </si>
  <si>
    <t xml:space="preserve">Белгород/Белгородская область </t>
  </si>
  <si>
    <t>Разуваев Роман</t>
  </si>
  <si>
    <t>1. Разуваев Роман</t>
  </si>
  <si>
    <t>Открытая (15.02.1975)/45</t>
  </si>
  <si>
    <t>84,75</t>
  </si>
  <si>
    <t xml:space="preserve">Губкин/Белгородская область </t>
  </si>
  <si>
    <t>137,5</t>
  </si>
  <si>
    <t>Мастера 45 - 49 (15.02.1975)/45</t>
  </si>
  <si>
    <t>Стенякин Андрей</t>
  </si>
  <si>
    <t>1. Стенякин Андрей</t>
  </si>
  <si>
    <t>Юниоры 20 - 23 (26.04.1998)/22</t>
  </si>
  <si>
    <t>93,60</t>
  </si>
  <si>
    <t xml:space="preserve">Альфа </t>
  </si>
  <si>
    <t xml:space="preserve">Щёкино/Тульская область </t>
  </si>
  <si>
    <t>132,5</t>
  </si>
  <si>
    <t xml:space="preserve">Панков Борис </t>
  </si>
  <si>
    <t>Панков Борис</t>
  </si>
  <si>
    <t>1. Панков Борис</t>
  </si>
  <si>
    <t>Открытая (26.04.1993)/27</t>
  </si>
  <si>
    <t>92,80</t>
  </si>
  <si>
    <t xml:space="preserve">Лопацкий Георгий </t>
  </si>
  <si>
    <t xml:space="preserve">Юниоры </t>
  </si>
  <si>
    <t xml:space="preserve">Результат </t>
  </si>
  <si>
    <t xml:space="preserve">Юниоры 20 - 23 </t>
  </si>
  <si>
    <t>86,7035</t>
  </si>
  <si>
    <t>92,0160</t>
  </si>
  <si>
    <t>75</t>
  </si>
  <si>
    <t>89,9910</t>
  </si>
  <si>
    <t>82,0867</t>
  </si>
  <si>
    <t>86,0269</t>
  </si>
  <si>
    <t>Результат</t>
  </si>
  <si>
    <t>Кубок Курской области
ПРО военный жим классический
Курчатов/Курская область 30 - 31 октября 2020 г.</t>
  </si>
  <si>
    <t>Маркелов Юрий</t>
  </si>
  <si>
    <t>1. Маркелов Юрий</t>
  </si>
  <si>
    <t>Открытая (14.08.1982)/38</t>
  </si>
  <si>
    <t>100,00</t>
  </si>
  <si>
    <t xml:space="preserve">Сталь Брянск </t>
  </si>
  <si>
    <t xml:space="preserve">Брянск/Брянская область </t>
  </si>
  <si>
    <t>162,5</t>
  </si>
  <si>
    <t xml:space="preserve">Шерман Дмитрий </t>
  </si>
  <si>
    <t>88,6400</t>
  </si>
  <si>
    <t>Кубок Курской области
СОВ жим лежа
Курчатов/Курская область 30 - 31 октября 2020 г.</t>
  </si>
  <si>
    <t>Акатов Игорь</t>
  </si>
  <si>
    <t>1. Акатов Игорь</t>
  </si>
  <si>
    <t>Мастера 55 - 59 (02.11.1960)/59</t>
  </si>
  <si>
    <t>82,50</t>
  </si>
  <si>
    <t xml:space="preserve">Мастера 55 - 59 </t>
  </si>
  <si>
    <t>105,8539</t>
  </si>
  <si>
    <t>Кубок Курской области
Любители жим лежа без экипировки
Курчатов/Курская область 30 - 31 октября 2020 г.</t>
  </si>
  <si>
    <t>ВЕСОВАЯ КАТЕГОРИЯ   48</t>
  </si>
  <si>
    <t>Манжос Анастасия</t>
  </si>
  <si>
    <t>1. Манжос Анастасия</t>
  </si>
  <si>
    <t>Юниорки 20 - 23 (27.10.1998)/22</t>
  </si>
  <si>
    <t>48,00</t>
  </si>
  <si>
    <t xml:space="preserve">Авалон </t>
  </si>
  <si>
    <t>62,5</t>
  </si>
  <si>
    <t xml:space="preserve">Карякин Виталий </t>
  </si>
  <si>
    <t>Гостева Валентина</t>
  </si>
  <si>
    <t>1. Гостева Валентина</t>
  </si>
  <si>
    <t>Мастера 65 - 69 (07.08.1955)/65</t>
  </si>
  <si>
    <t>54,75</t>
  </si>
  <si>
    <t>Калинина Дарья</t>
  </si>
  <si>
    <t>1. Калинина Дарья</t>
  </si>
  <si>
    <t>Открытая (29.05.1992)/28</t>
  </si>
  <si>
    <t>58,20</t>
  </si>
  <si>
    <t>40,0</t>
  </si>
  <si>
    <t>45,0</t>
  </si>
  <si>
    <t>Кельина Татьяна</t>
  </si>
  <si>
    <t>1. Кельина Татьяна</t>
  </si>
  <si>
    <t>Открытая (25.03.1985)/35</t>
  </si>
  <si>
    <t>64,70</t>
  </si>
  <si>
    <t>2. Дудакова Анастасия</t>
  </si>
  <si>
    <t>Демидов Иван</t>
  </si>
  <si>
    <t>1. Демидов Иван</t>
  </si>
  <si>
    <t>Юноши 14-15 (08.02.2005)/15</t>
  </si>
  <si>
    <t>49,95</t>
  </si>
  <si>
    <t>35,0</t>
  </si>
  <si>
    <t>47,5</t>
  </si>
  <si>
    <t xml:space="preserve">Прыгов Дмитрий </t>
  </si>
  <si>
    <t>145,0</t>
  </si>
  <si>
    <t>Прытов Дмитрий</t>
  </si>
  <si>
    <t>1. Прытов Дмитрий</t>
  </si>
  <si>
    <t>Открытая (06.03.1985)/35</t>
  </si>
  <si>
    <t>81,65</t>
  </si>
  <si>
    <t>142,5</t>
  </si>
  <si>
    <t>Нагорных Дмитрий</t>
  </si>
  <si>
    <t>2. Нагорных Дмитрий</t>
  </si>
  <si>
    <t>Открытая (10.11.1989)/30</t>
  </si>
  <si>
    <t>79,35</t>
  </si>
  <si>
    <t>Глущенко Эдуард</t>
  </si>
  <si>
    <t>1. Глущенко Эдуард</t>
  </si>
  <si>
    <t>Открытая (20.11.1992)/27</t>
  </si>
  <si>
    <t>89,50</t>
  </si>
  <si>
    <t>155,0</t>
  </si>
  <si>
    <t>Петроченко Александр</t>
  </si>
  <si>
    <t>2. Петроченко Александр</t>
  </si>
  <si>
    <t>Юниоры 20 - 23 (26.03.1998)/22</t>
  </si>
  <si>
    <t>95,00</t>
  </si>
  <si>
    <t>147,5</t>
  </si>
  <si>
    <t>Тарасов Александр</t>
  </si>
  <si>
    <t>1. Тарасов Александр</t>
  </si>
  <si>
    <t>Открытая (12.04.1982)/38</t>
  </si>
  <si>
    <t>99,35</t>
  </si>
  <si>
    <t>172,5</t>
  </si>
  <si>
    <t>Горбачёв Александр</t>
  </si>
  <si>
    <t>2. Горбачёв Александр</t>
  </si>
  <si>
    <t>Открытая (27.04.1988)/32</t>
  </si>
  <si>
    <t>99,55</t>
  </si>
  <si>
    <t xml:space="preserve">Дмитриев/Курская область </t>
  </si>
  <si>
    <t>152,5</t>
  </si>
  <si>
    <t xml:space="preserve">Касперский В.Н. </t>
  </si>
  <si>
    <t>3. Панков Борис</t>
  </si>
  <si>
    <t>Шевченко Александр</t>
  </si>
  <si>
    <t>4. Шевченко Александр</t>
  </si>
  <si>
    <t>Открытая (30.01.1989)/31</t>
  </si>
  <si>
    <t>95,80</t>
  </si>
  <si>
    <t>ВЕСОВАЯ КАТЕГОРИЯ   110</t>
  </si>
  <si>
    <t>Малеев Сергей</t>
  </si>
  <si>
    <t>1. Малеев Сергей</t>
  </si>
  <si>
    <t>Открытая (18.03.1977)/43</t>
  </si>
  <si>
    <t>104,50</t>
  </si>
  <si>
    <t>185,0</t>
  </si>
  <si>
    <t>Мастера 40 - 44 (18.03.1977)/43</t>
  </si>
  <si>
    <t>ВЕСОВАЯ КАТЕГОРИЯ   125</t>
  </si>
  <si>
    <t>Юрасов Антон</t>
  </si>
  <si>
    <t>1. Юрасов Антон</t>
  </si>
  <si>
    <t>Открытая (12.12.1986)/33</t>
  </si>
  <si>
    <t>111,45</t>
  </si>
  <si>
    <t xml:space="preserve">Юниорки </t>
  </si>
  <si>
    <t>48</t>
  </si>
  <si>
    <t>62,6877</t>
  </si>
  <si>
    <t>60,5888</t>
  </si>
  <si>
    <t>54,6750</t>
  </si>
  <si>
    <t>35,3260</t>
  </si>
  <si>
    <t xml:space="preserve">Мастера 65 - 69 </t>
  </si>
  <si>
    <t>111,4920</t>
  </si>
  <si>
    <t>57,6430</t>
  </si>
  <si>
    <t>55,9267</t>
  </si>
  <si>
    <t>93,9287</t>
  </si>
  <si>
    <t>86,0217</t>
  </si>
  <si>
    <t>110</t>
  </si>
  <si>
    <t>100,7510</t>
  </si>
  <si>
    <t>97,7670</t>
  </si>
  <si>
    <t>95,8496</t>
  </si>
  <si>
    <t>95,7634</t>
  </si>
  <si>
    <t>93,3240</t>
  </si>
  <si>
    <t>125</t>
  </si>
  <si>
    <t>88,2503</t>
  </si>
  <si>
    <t>85,7725</t>
  </si>
  <si>
    <t>82,2220</t>
  </si>
  <si>
    <t>79,1560</t>
  </si>
  <si>
    <t>76,4040</t>
  </si>
  <si>
    <t xml:space="preserve">Мастера 40 - 44 </t>
  </si>
  <si>
    <t>102,5645</t>
  </si>
  <si>
    <t>Кубок Курской области
ПРО жим лежа без экипировки
Курчатов/Курская область 30 - 31 октября 2020 г.</t>
  </si>
  <si>
    <t>Шутеев Роман</t>
  </si>
  <si>
    <t>1. Шутеев Роман</t>
  </si>
  <si>
    <t>Открытая (13.08.1985)/35</t>
  </si>
  <si>
    <t>103,60</t>
  </si>
  <si>
    <t>Жебенев Дмитрий</t>
  </si>
  <si>
    <t>2. Жебенев Дмитрий</t>
  </si>
  <si>
    <t>Открытая (14.08.1994)/26</t>
  </si>
  <si>
    <t>106,90</t>
  </si>
  <si>
    <t>122,5</t>
  </si>
  <si>
    <t>92,8710</t>
  </si>
  <si>
    <t>75,6980</t>
  </si>
  <si>
    <t>Кубок Курской области
Любители жим лежа в Софт экипировка многопетельная
Курчатов/Курская область 30 - 31 октября 2020 г.</t>
  </si>
  <si>
    <t>Калакуцкий Руслан</t>
  </si>
  <si>
    <t>1. Калакуцкий Руслан</t>
  </si>
  <si>
    <t>Открытая (22.04.1979)/41</t>
  </si>
  <si>
    <t xml:space="preserve">Викинги </t>
  </si>
  <si>
    <t>260,0</t>
  </si>
  <si>
    <t>270,0</t>
  </si>
  <si>
    <t>280,0</t>
  </si>
  <si>
    <t xml:space="preserve">Карпачёв Михаил </t>
  </si>
  <si>
    <t>Карпачёв Михаил</t>
  </si>
  <si>
    <t>2. Карпачёв Михаил</t>
  </si>
  <si>
    <t>Открытая (11.11.1959)/60</t>
  </si>
  <si>
    <t>ВЕСОВАЯ КАТЕГОРИЯ   140</t>
  </si>
  <si>
    <t>Виноходов Сергей</t>
  </si>
  <si>
    <t>1. Виноходов Сергей</t>
  </si>
  <si>
    <t>Открытая (17.09.1982)/38</t>
  </si>
  <si>
    <t>131,70</t>
  </si>
  <si>
    <t>300,0</t>
  </si>
  <si>
    <t>310,0</t>
  </si>
  <si>
    <t>325,0</t>
  </si>
  <si>
    <t>Булгаков Владимир</t>
  </si>
  <si>
    <t>2. Булгаков Владимир</t>
  </si>
  <si>
    <t>Открытая (15.05.1990)/30</t>
  </si>
  <si>
    <t>129,00</t>
  </si>
  <si>
    <t>315,0</t>
  </si>
  <si>
    <t>140</t>
  </si>
  <si>
    <t>166,7120</t>
  </si>
  <si>
    <t>162,6030</t>
  </si>
  <si>
    <t>149,5800</t>
  </si>
  <si>
    <t>105,2600</t>
  </si>
  <si>
    <t>Кубок Курской области
Любители становая тяга без экипировки
Курчатов/Курская область 30 - 31 октября 2020 г.</t>
  </si>
  <si>
    <t>55,90</t>
  </si>
  <si>
    <t>Кочетова Светлана</t>
  </si>
  <si>
    <t>1. Кочетова Светлана</t>
  </si>
  <si>
    <t>Открытая (14.02.1991)/29</t>
  </si>
  <si>
    <t>65,75</t>
  </si>
  <si>
    <t xml:space="preserve">Воронеж/Воронежская область </t>
  </si>
  <si>
    <t xml:space="preserve">Кочетов Сергей Петрович </t>
  </si>
  <si>
    <t>Максимов Андрей</t>
  </si>
  <si>
    <t>1. Максимов Андрей</t>
  </si>
  <si>
    <t>Открытая (24.10.1991)/29</t>
  </si>
  <si>
    <t>59,45</t>
  </si>
  <si>
    <t>202,5</t>
  </si>
  <si>
    <t>Литвинов Евгений</t>
  </si>
  <si>
    <t>1. Литвинов Евгений</t>
  </si>
  <si>
    <t>Юноши 18 - 19 (30.10.2002)/18</t>
  </si>
  <si>
    <t>62,60</t>
  </si>
  <si>
    <t>167,5</t>
  </si>
  <si>
    <t>175,0</t>
  </si>
  <si>
    <t>Денисов Александр</t>
  </si>
  <si>
    <t>1. Денисов Александр</t>
  </si>
  <si>
    <t>Открытая (20.04.1989)/31</t>
  </si>
  <si>
    <t>79,80</t>
  </si>
  <si>
    <t xml:space="preserve">Сфера/Импульс </t>
  </si>
  <si>
    <t>210,0</t>
  </si>
  <si>
    <t>Лукьянчиков Владимир</t>
  </si>
  <si>
    <t>1. Лукьянчиков Владимир</t>
  </si>
  <si>
    <t>Мастера 60 - 64 (23.12.1959)/60</t>
  </si>
  <si>
    <t>87,70</t>
  </si>
  <si>
    <t>Милитас Артём</t>
  </si>
  <si>
    <t>1. Милитас Артём</t>
  </si>
  <si>
    <t>Открытая (13.04.1996)/24</t>
  </si>
  <si>
    <t>99,70</t>
  </si>
  <si>
    <t>230,0</t>
  </si>
  <si>
    <t>257,5</t>
  </si>
  <si>
    <t xml:space="preserve">Денисов Александр Николаевич </t>
  </si>
  <si>
    <t>135,4730</t>
  </si>
  <si>
    <t>91,3300</t>
  </si>
  <si>
    <t>89,1000</t>
  </si>
  <si>
    <t xml:space="preserve">Юноши 18 - 19 </t>
  </si>
  <si>
    <t>144,4860</t>
  </si>
  <si>
    <t>164,1200</t>
  </si>
  <si>
    <t>142,8610</t>
  </si>
  <si>
    <t>133,1610</t>
  </si>
  <si>
    <t xml:space="preserve">Мастера 60 - 64 </t>
  </si>
  <si>
    <t>176,0907</t>
  </si>
  <si>
    <t>Кубок Курской области
ПРО становая тяга без экипировки
Курчатов/Курская область 30 - 31 октября 2020 г.</t>
  </si>
  <si>
    <t>1. Жебенев Дмитрий</t>
  </si>
  <si>
    <t>235,0</t>
  </si>
  <si>
    <t>127,0645</t>
  </si>
  <si>
    <t>Кубок Курской области
Любители присед без экипировки
Курчатов/Курская область 30 - 31 октября 2020 г.</t>
  </si>
  <si>
    <t>192,5</t>
  </si>
  <si>
    <t>220,0</t>
  </si>
  <si>
    <t>227,5</t>
  </si>
  <si>
    <t>Бобович Валерий</t>
  </si>
  <si>
    <t>1. Бобович Валерий</t>
  </si>
  <si>
    <t>Мастера 50 - 54 (16.08.1966)/54</t>
  </si>
  <si>
    <t>107,10</t>
  </si>
  <si>
    <t>76,9500</t>
  </si>
  <si>
    <t>65,7967</t>
  </si>
  <si>
    <t>122,0643</t>
  </si>
  <si>
    <t>122,0560</t>
  </si>
  <si>
    <t xml:space="preserve">Мастера 50 - 54 </t>
  </si>
  <si>
    <t>125,7781</t>
  </si>
  <si>
    <t>Скляр Елена</t>
  </si>
  <si>
    <t>1. Скляр Елена</t>
  </si>
  <si>
    <t>Мастера 40 - 44 (10.02.1978)/42</t>
  </si>
  <si>
    <t>68,75</t>
  </si>
  <si>
    <t>116,2671</t>
  </si>
  <si>
    <t>Кубок Курской области
Одиночный жим штанги стоя Профессионалы
Курчатов/Курская область 30 - 31 октября 2020 г.</t>
  </si>
  <si>
    <t>Жим стоя</t>
  </si>
  <si>
    <t>Трофимов Дмитрий</t>
  </si>
  <si>
    <t>1. Трофимов Дмитрий</t>
  </si>
  <si>
    <t>Мастера 45 - 49 (18.02.1974)/46</t>
  </si>
  <si>
    <t>93,90</t>
  </si>
  <si>
    <t xml:space="preserve">Рядинский Денис </t>
  </si>
  <si>
    <t>51,9203</t>
  </si>
  <si>
    <t>Кубок Курской области
Одиночный подъём штанги на бицепс Любители
Курчатов/Курская область 30 - 31 октября 2020 г.</t>
  </si>
  <si>
    <t>Подъем на бицепс</t>
  </si>
  <si>
    <t>27,5</t>
  </si>
  <si>
    <t>32,5</t>
  </si>
  <si>
    <t>20,0</t>
  </si>
  <si>
    <t>Рядинский Денис</t>
  </si>
  <si>
    <t>1. Рядинский Денис</t>
  </si>
  <si>
    <t>Открытая (06.07.1985)/35</t>
  </si>
  <si>
    <t>80,40</t>
  </si>
  <si>
    <t>77,5</t>
  </si>
  <si>
    <t xml:space="preserve">Трунов Михаил </t>
  </si>
  <si>
    <t>Осетров Евгений</t>
  </si>
  <si>
    <t>2. Осетров Евгений</t>
  </si>
  <si>
    <t>Открытая (03.03.1996)/24</t>
  </si>
  <si>
    <t>77,80</t>
  </si>
  <si>
    <t>1. Минеев Александр</t>
  </si>
  <si>
    <t>52,5</t>
  </si>
  <si>
    <t>1. Петроченко Александр</t>
  </si>
  <si>
    <t>1. Шевченко Александр</t>
  </si>
  <si>
    <t>82,5</t>
  </si>
  <si>
    <t>2. Тарасов Александр</t>
  </si>
  <si>
    <t>28,7024</t>
  </si>
  <si>
    <t>22,2159</t>
  </si>
  <si>
    <t>40,1435</t>
  </si>
  <si>
    <t>50,4560</t>
  </si>
  <si>
    <t>46,6620</t>
  </si>
  <si>
    <t>46,6455</t>
  </si>
  <si>
    <t>45,4623</t>
  </si>
  <si>
    <t>41,9965</t>
  </si>
  <si>
    <t>39,0585</t>
  </si>
  <si>
    <t>38,8955</t>
  </si>
  <si>
    <t>53,8055</t>
  </si>
  <si>
    <t>45,7382</t>
  </si>
  <si>
    <t>Кубок Курской области
Одиночный подъём штанги на бицепс Профессионалы
Курчатов/Курская область 30 - 31 октября 2020 г.</t>
  </si>
  <si>
    <t>42,7579</t>
  </si>
  <si>
    <t>Кубок Курской области
Пауэрспорт Профессионалы
Курчатов/Курская область 30 - 31 октября 2020 г.</t>
  </si>
  <si>
    <t>94,6781</t>
  </si>
  <si>
    <t>Кубок Курской области
Русский жим профессионалы 55 кг.
Курчатов/Курская область 30 - 31 октября 2020 г.</t>
  </si>
  <si>
    <t>Атлетизм</t>
  </si>
  <si>
    <t>Русский жим</t>
  </si>
  <si>
    <t>ВЕСОВАЯ КАТЕГОРИЯ   All</t>
  </si>
  <si>
    <t>Кравченко Дмитрий</t>
  </si>
  <si>
    <t>1. Кравченко Дмитрий</t>
  </si>
  <si>
    <t>Открытая (19.02.1994)/26</t>
  </si>
  <si>
    <t xml:space="preserve">Железногорск/Курская область </t>
  </si>
  <si>
    <t>62,0</t>
  </si>
  <si>
    <t xml:space="preserve">Атлетизм </t>
  </si>
  <si>
    <t>All</t>
  </si>
  <si>
    <t>3410,0</t>
  </si>
  <si>
    <t>39,5133</t>
  </si>
  <si>
    <t>Тоннаж</t>
  </si>
  <si>
    <t>Кубок Курской области
Русский жим любители 55 кг.
Курчатов/Курская область 30 - 31 октября 2020 г.</t>
  </si>
  <si>
    <t>14,0</t>
  </si>
  <si>
    <t>770,0</t>
  </si>
  <si>
    <t>11,9010</t>
  </si>
  <si>
    <t>Кубок Курской области
Русская станова тяга любители 75 кг.
Курчатов/Курская область 30 - 31 октября 2020 г.</t>
  </si>
  <si>
    <t>Русская становая</t>
  </si>
  <si>
    <t>Ляхова Полина</t>
  </si>
  <si>
    <t>1. Ляхова Полина</t>
  </si>
  <si>
    <t>Открытая (22.06.1993)/27</t>
  </si>
  <si>
    <t>59,80</t>
  </si>
  <si>
    <t>31,0</t>
  </si>
  <si>
    <t>54,70</t>
  </si>
  <si>
    <t>24,0</t>
  </si>
  <si>
    <t>2325,0</t>
  </si>
  <si>
    <t>38,8795</t>
  </si>
  <si>
    <t>1800,0</t>
  </si>
  <si>
    <t>32,9067</t>
  </si>
  <si>
    <t>Кубок Курской области
Русская станова тяга профессионалы 200 кг.
Курчатов/Курская область 30 - 31 октября 2020 г.</t>
  </si>
  <si>
    <t>Малышев Евгений</t>
  </si>
  <si>
    <t>1. Малышев Евгений</t>
  </si>
  <si>
    <t>Мастера 45 - 49 (02.12.1972)/47</t>
  </si>
  <si>
    <t>82,10</t>
  </si>
  <si>
    <t>12,0</t>
  </si>
  <si>
    <t>2400,0</t>
  </si>
  <si>
    <t>29,2326</t>
  </si>
  <si>
    <t>Меркулов В.В.</t>
  </si>
  <si>
    <t>Перьков А.В.</t>
  </si>
  <si>
    <t>Малышев Е.Н.</t>
  </si>
  <si>
    <t>Ляхова П.С.</t>
  </si>
  <si>
    <t>Блохин В.Н.</t>
  </si>
  <si>
    <t>Кубок Курской области
Парная тяга. Любители
Курчатов/Курская область 30 - 31 октября 2020 г.</t>
  </si>
  <si>
    <t>Кубок Курской области
Любители пауэрлифтинг Экипировка СТАНДАРТ
Курчатов/Курская область 30 - 31 октября 2020 г.</t>
  </si>
  <si>
    <t>350</t>
  </si>
  <si>
    <t>380</t>
  </si>
  <si>
    <t>400</t>
  </si>
  <si>
    <t>Кубок Курской области
Силовое двоеборье ПРО
Курчатов/Курская область 30 - 31 октября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</si>
</sst>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24"/>
      <name val="Arial Cyr"/>
      <charset val="204"/>
    </font>
    <font>
      <sz val="12"/>
      <name val="Arial Cyr"/>
      <charset val="204"/>
    </font>
    <font>
      <i/>
      <sz val="12"/>
      <name val="Arial Cyr"/>
      <charset val="204"/>
    </font>
    <font>
      <strike/>
      <sz val="10"/>
      <name val="Arial Cyr"/>
      <charset val="204"/>
    </font>
    <font>
      <sz val="14"/>
      <name val="Arial Cyr"/>
      <charset val="204"/>
    </font>
    <font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11" xfId="0" applyNumberFormat="1" applyFont="1" applyFill="1" applyBorder="1" applyAlignment="1">
      <alignment horizontal="left"/>
    </xf>
    <xf numFmtId="49" fontId="6" fillId="0" borderId="11" xfId="0" applyNumberFormat="1" applyFont="1" applyFill="1" applyBorder="1" applyAlignment="1">
      <alignment horizontal="center"/>
    </xf>
    <xf numFmtId="49" fontId="0" fillId="0" borderId="11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49" fontId="1" fillId="0" borderId="11" xfId="0" applyNumberFormat="1" applyFont="1" applyFill="1" applyBorder="1" applyAlignment="1">
      <alignment horizontal="left"/>
    </xf>
    <xf numFmtId="49" fontId="1" fillId="0" borderId="11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left"/>
    </xf>
    <xf numFmtId="49" fontId="0" fillId="0" borderId="0" xfId="0" applyNumberFormat="1" applyFont="1" applyFill="1" applyBorder="1" applyAlignment="1">
      <alignment horizontal="left" indent="1"/>
    </xf>
    <xf numFmtId="49" fontId="8" fillId="0" borderId="0" xfId="0" applyNumberFormat="1" applyFont="1" applyFill="1" applyBorder="1" applyAlignment="1">
      <alignment horizontal="left" indent="1"/>
    </xf>
    <xf numFmtId="49" fontId="8" fillId="0" borderId="0" xfId="0" applyNumberFormat="1" applyFont="1" applyFill="1" applyBorder="1" applyAlignment="1">
      <alignment horizontal="left"/>
    </xf>
    <xf numFmtId="49" fontId="2" fillId="0" borderId="11" xfId="0" applyNumberFormat="1" applyFont="1" applyFill="1" applyBorder="1" applyAlignment="1">
      <alignment horizontal="center" vertical="center"/>
    </xf>
    <xf numFmtId="49" fontId="0" fillId="0" borderId="12" xfId="0" applyNumberFormat="1" applyFont="1" applyFill="1" applyBorder="1" applyAlignment="1">
      <alignment horizontal="left"/>
    </xf>
    <xf numFmtId="49" fontId="0" fillId="0" borderId="12" xfId="0" applyNumberFormat="1" applyFont="1" applyFill="1" applyBorder="1" applyAlignment="1">
      <alignment horizontal="center"/>
    </xf>
    <xf numFmtId="49" fontId="6" fillId="0" borderId="12" xfId="0" applyNumberFormat="1" applyFont="1" applyFill="1" applyBorder="1" applyAlignment="1">
      <alignment horizontal="center"/>
    </xf>
    <xf numFmtId="49" fontId="0" fillId="0" borderId="13" xfId="0" applyNumberFormat="1" applyFont="1" applyFill="1" applyBorder="1" applyAlignment="1">
      <alignment horizontal="left"/>
    </xf>
    <xf numFmtId="49" fontId="6" fillId="0" borderId="13" xfId="0" applyNumberFormat="1" applyFont="1" applyFill="1" applyBorder="1" applyAlignment="1">
      <alignment horizontal="center"/>
    </xf>
    <xf numFmtId="49" fontId="0" fillId="0" borderId="13" xfId="0" applyNumberFormat="1" applyFont="1" applyFill="1" applyBorder="1" applyAlignment="1">
      <alignment horizontal="center"/>
    </xf>
    <xf numFmtId="49" fontId="0" fillId="0" borderId="8" xfId="0" applyNumberFormat="1" applyFont="1" applyFill="1" applyBorder="1" applyAlignment="1">
      <alignment horizontal="left"/>
    </xf>
    <xf numFmtId="49" fontId="0" fillId="0" borderId="8" xfId="0" applyNumberFormat="1" applyFont="1" applyFill="1" applyBorder="1" applyAlignment="1">
      <alignment horizontal="center"/>
    </xf>
    <xf numFmtId="49" fontId="6" fillId="0" borderId="8" xfId="0" applyNumberFormat="1" applyFon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left"/>
    </xf>
    <xf numFmtId="49" fontId="1" fillId="0" borderId="12" xfId="0" applyNumberFormat="1" applyFont="1" applyFill="1" applyBorder="1" applyAlignment="1">
      <alignment horizontal="center"/>
    </xf>
    <xf numFmtId="49" fontId="1" fillId="0" borderId="13" xfId="0" applyNumberFormat="1" applyFont="1" applyFill="1" applyBorder="1" applyAlignment="1">
      <alignment horizontal="left"/>
    </xf>
    <xf numFmtId="49" fontId="1" fillId="0" borderId="13" xfId="0" applyNumberFormat="1" applyFont="1" applyFill="1" applyBorder="1" applyAlignment="1">
      <alignment horizontal="center"/>
    </xf>
    <xf numFmtId="49" fontId="1" fillId="0" borderId="8" xfId="0" applyNumberFormat="1" applyFont="1" applyFill="1" applyBorder="1" applyAlignment="1">
      <alignment horizontal="left"/>
    </xf>
    <xf numFmtId="49" fontId="1" fillId="0" borderId="8" xfId="0" applyNumberFormat="1" applyFont="1" applyFill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49" fontId="0" fillId="0" borderId="12" xfId="0" applyNumberFormat="1" applyFill="1" applyBorder="1" applyAlignment="1">
      <alignment horizontal="left"/>
    </xf>
    <xf numFmtId="49" fontId="0" fillId="0" borderId="8" xfId="0" applyNumberFormat="1" applyFill="1" applyBorder="1" applyAlignment="1">
      <alignment horizontal="left"/>
    </xf>
    <xf numFmtId="49" fontId="0" fillId="0" borderId="12" xfId="0" applyNumberFormat="1" applyFill="1" applyBorder="1" applyAlignment="1">
      <alignment horizontal="center"/>
    </xf>
    <xf numFmtId="49" fontId="0" fillId="0" borderId="8" xfId="0" applyNumberForma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C12" sqref="C12"/>
    </sheetView>
  </sheetViews>
  <sheetFormatPr defaultRowHeight="12.75" x14ac:dyDescent="0.2"/>
  <cols>
    <col min="1" max="1" width="26" style="4" bestFit="1" customWidth="1"/>
    <col min="2" max="2" width="28.5703125" style="4" bestFit="1" customWidth="1"/>
    <col min="3" max="3" width="15.5703125" style="4" bestFit="1" customWidth="1"/>
    <col min="4" max="4" width="11.85546875" style="4" bestFit="1" customWidth="1"/>
    <col min="5" max="5" width="22.7109375" style="4" bestFit="1" customWidth="1"/>
    <col min="6" max="6" width="24.7109375" style="4" bestFit="1" customWidth="1"/>
    <col min="7" max="7" width="5.5703125" style="3" customWidth="1"/>
    <col min="8" max="8" width="10.42578125" style="3" customWidth="1"/>
    <col min="9" max="9" width="7.85546875" style="10" bestFit="1" customWidth="1"/>
    <col min="10" max="10" width="7.5703125" style="2" bestFit="1" customWidth="1"/>
    <col min="11" max="11" width="17.85546875" style="4" bestFit="1" customWidth="1"/>
    <col min="12" max="16384" width="9.140625" style="3"/>
  </cols>
  <sheetData>
    <row r="1" spans="1:11" s="2" customFormat="1" ht="29.1" customHeight="1" x14ac:dyDescent="0.2">
      <c r="A1" s="39" t="s">
        <v>512</v>
      </c>
      <c r="B1" s="40"/>
      <c r="C1" s="40"/>
      <c r="D1" s="40"/>
      <c r="E1" s="40"/>
      <c r="F1" s="40"/>
      <c r="G1" s="40"/>
      <c r="H1" s="40"/>
      <c r="I1" s="40"/>
      <c r="J1" s="40"/>
      <c r="K1" s="41"/>
    </row>
    <row r="2" spans="1:11" s="2" customFormat="1" ht="62.1" customHeight="1" thickBot="1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4"/>
    </row>
    <row r="3" spans="1:11" s="1" customFormat="1" ht="12.75" customHeight="1" x14ac:dyDescent="0.2">
      <c r="A3" s="45" t="s">
        <v>0</v>
      </c>
      <c r="B3" s="47" t="s">
        <v>6</v>
      </c>
      <c r="C3" s="47" t="s">
        <v>10</v>
      </c>
      <c r="D3" s="49" t="s">
        <v>482</v>
      </c>
      <c r="E3" s="49" t="s">
        <v>4</v>
      </c>
      <c r="F3" s="49" t="s">
        <v>7</v>
      </c>
      <c r="G3" s="49" t="s">
        <v>500</v>
      </c>
      <c r="H3" s="49"/>
      <c r="I3" s="49" t="s">
        <v>494</v>
      </c>
      <c r="J3" s="49" t="s">
        <v>3</v>
      </c>
      <c r="K3" s="50" t="s">
        <v>2</v>
      </c>
    </row>
    <row r="4" spans="1:11" s="1" customFormat="1" ht="21" customHeight="1" thickBot="1" x14ac:dyDescent="0.25">
      <c r="A4" s="46"/>
      <c r="B4" s="48"/>
      <c r="C4" s="48"/>
      <c r="D4" s="48"/>
      <c r="E4" s="48"/>
      <c r="F4" s="48"/>
      <c r="G4" s="5" t="s">
        <v>8</v>
      </c>
      <c r="H4" s="5" t="s">
        <v>9</v>
      </c>
      <c r="I4" s="48"/>
      <c r="J4" s="48"/>
      <c r="K4" s="51"/>
    </row>
    <row r="5" spans="1:11" ht="15" x14ac:dyDescent="0.2">
      <c r="A5" s="52" t="s">
        <v>484</v>
      </c>
      <c r="B5" s="53"/>
      <c r="C5" s="53"/>
      <c r="D5" s="53"/>
      <c r="E5" s="53"/>
      <c r="F5" s="53"/>
      <c r="G5" s="53"/>
      <c r="H5" s="53"/>
    </row>
    <row r="6" spans="1:11" x14ac:dyDescent="0.2">
      <c r="A6" s="6" t="s">
        <v>514</v>
      </c>
      <c r="B6" s="6" t="s">
        <v>515</v>
      </c>
      <c r="C6" s="6" t="s">
        <v>516</v>
      </c>
      <c r="D6" s="6" t="str">
        <f>"1,0000"</f>
        <v>1,0000</v>
      </c>
      <c r="E6" s="6" t="s">
        <v>50</v>
      </c>
      <c r="F6" s="6" t="s">
        <v>51</v>
      </c>
      <c r="G6" s="8" t="s">
        <v>98</v>
      </c>
      <c r="H6" s="8" t="s">
        <v>517</v>
      </c>
      <c r="I6" s="11" t="str">
        <f>"2400,0"</f>
        <v>2400,0</v>
      </c>
      <c r="J6" s="12" t="str">
        <f>"29,2326"</f>
        <v>29,2326</v>
      </c>
      <c r="K6" s="6" t="s">
        <v>58</v>
      </c>
    </row>
    <row r="8" spans="1:11" ht="15" x14ac:dyDescent="0.2">
      <c r="E8" s="9" t="s">
        <v>28</v>
      </c>
      <c r="F8" s="34" t="s">
        <v>520</v>
      </c>
    </row>
    <row r="9" spans="1:11" ht="15" x14ac:dyDescent="0.2">
      <c r="E9" s="9" t="s">
        <v>29</v>
      </c>
      <c r="F9" s="34" t="s">
        <v>523</v>
      </c>
    </row>
    <row r="10" spans="1:11" ht="15" x14ac:dyDescent="0.2">
      <c r="E10" s="9" t="s">
        <v>30</v>
      </c>
      <c r="F10" s="34" t="s">
        <v>521</v>
      </c>
    </row>
    <row r="11" spans="1:11" ht="15" x14ac:dyDescent="0.2">
      <c r="E11" s="9" t="s">
        <v>31</v>
      </c>
      <c r="F11" s="34" t="s">
        <v>524</v>
      </c>
    </row>
    <row r="12" spans="1:11" ht="15" x14ac:dyDescent="0.2">
      <c r="E12" s="9" t="s">
        <v>31</v>
      </c>
      <c r="F12" s="34" t="s">
        <v>522</v>
      </c>
    </row>
    <row r="13" spans="1:11" ht="15" x14ac:dyDescent="0.2">
      <c r="E13" s="9"/>
    </row>
    <row r="14" spans="1:11" ht="15" x14ac:dyDescent="0.2">
      <c r="E14" s="9"/>
    </row>
    <row r="16" spans="1:11" ht="18" x14ac:dyDescent="0.25">
      <c r="A16" s="13" t="s">
        <v>32</v>
      </c>
      <c r="B16" s="13"/>
    </row>
    <row r="17" spans="1:5" ht="15" x14ac:dyDescent="0.2">
      <c r="A17" s="14" t="s">
        <v>120</v>
      </c>
      <c r="B17" s="14"/>
    </row>
    <row r="18" spans="1:5" ht="14.25" x14ac:dyDescent="0.2">
      <c r="A18" s="16"/>
      <c r="B18" s="17" t="s">
        <v>34</v>
      </c>
    </row>
    <row r="19" spans="1:5" ht="15" x14ac:dyDescent="0.2">
      <c r="A19" s="18" t="s">
        <v>35</v>
      </c>
      <c r="B19" s="18" t="s">
        <v>36</v>
      </c>
      <c r="C19" s="18" t="s">
        <v>37</v>
      </c>
      <c r="D19" s="18" t="s">
        <v>193</v>
      </c>
      <c r="E19" s="18" t="s">
        <v>490</v>
      </c>
    </row>
    <row r="20" spans="1:5" x14ac:dyDescent="0.2">
      <c r="A20" s="15" t="s">
        <v>513</v>
      </c>
      <c r="B20" s="4" t="s">
        <v>40</v>
      </c>
      <c r="C20" s="4" t="s">
        <v>491</v>
      </c>
      <c r="D20" s="4" t="s">
        <v>518</v>
      </c>
      <c r="E20" s="10" t="s">
        <v>519</v>
      </c>
    </row>
  </sheetData>
  <mergeCells count="12">
    <mergeCell ref="A5:H5"/>
    <mergeCell ref="A1:K2"/>
    <mergeCell ref="A3:A4"/>
    <mergeCell ref="B3:B4"/>
    <mergeCell ref="C3:C4"/>
    <mergeCell ref="D3:D4"/>
    <mergeCell ref="E3:E4"/>
    <mergeCell ref="F3:F4"/>
    <mergeCell ref="G3:H3"/>
    <mergeCell ref="I3:I4"/>
    <mergeCell ref="J3:J4"/>
    <mergeCell ref="K3:K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B19" sqref="B19"/>
    </sheetView>
  </sheetViews>
  <sheetFormatPr defaultRowHeight="12.75" x14ac:dyDescent="0.2"/>
  <cols>
    <col min="1" max="1" width="26" style="4" bestFit="1" customWidth="1"/>
    <col min="2" max="2" width="28.5703125" style="4" bestFit="1" customWidth="1"/>
    <col min="3" max="3" width="15.5703125" style="4" bestFit="1" customWidth="1"/>
    <col min="4" max="4" width="11.85546875" style="4" bestFit="1" customWidth="1"/>
    <col min="5" max="5" width="22.7109375" style="4" bestFit="1" customWidth="1"/>
    <col min="6" max="6" width="24.7109375" style="4" bestFit="1" customWidth="1"/>
    <col min="7" max="9" width="5.5703125" style="3" customWidth="1"/>
    <col min="10" max="10" width="4.85546875" style="3" customWidth="1"/>
    <col min="11" max="11" width="7.85546875" style="10" bestFit="1" customWidth="1"/>
    <col min="12" max="12" width="8.5703125" style="2" bestFit="1" customWidth="1"/>
    <col min="13" max="13" width="30.140625" style="4" bestFit="1" customWidth="1"/>
    <col min="14" max="16384" width="9.140625" style="3"/>
  </cols>
  <sheetData>
    <row r="1" spans="1:13" s="2" customFormat="1" ht="29.1" customHeight="1" x14ac:dyDescent="0.2">
      <c r="A1" s="39" t="s">
        <v>417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s="2" customFormat="1" ht="62.1" customHeight="1" thickBot="1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4"/>
    </row>
    <row r="3" spans="1:13" s="1" customFormat="1" ht="12.75" customHeight="1" x14ac:dyDescent="0.2">
      <c r="A3" s="45" t="s">
        <v>0</v>
      </c>
      <c r="B3" s="47" t="s">
        <v>6</v>
      </c>
      <c r="C3" s="47" t="s">
        <v>10</v>
      </c>
      <c r="D3" s="49" t="s">
        <v>11</v>
      </c>
      <c r="E3" s="49" t="s">
        <v>4</v>
      </c>
      <c r="F3" s="49" t="s">
        <v>7</v>
      </c>
      <c r="G3" s="49" t="s">
        <v>12</v>
      </c>
      <c r="H3" s="49"/>
      <c r="I3" s="49"/>
      <c r="J3" s="49"/>
      <c r="K3" s="49" t="s">
        <v>201</v>
      </c>
      <c r="L3" s="49" t="s">
        <v>3</v>
      </c>
      <c r="M3" s="50" t="s">
        <v>2</v>
      </c>
    </row>
    <row r="4" spans="1:13" s="1" customFormat="1" ht="21" customHeight="1" thickBot="1" x14ac:dyDescent="0.25">
      <c r="A4" s="46"/>
      <c r="B4" s="48"/>
      <c r="C4" s="48"/>
      <c r="D4" s="48"/>
      <c r="E4" s="48"/>
      <c r="F4" s="48"/>
      <c r="G4" s="5">
        <v>1</v>
      </c>
      <c r="H4" s="5">
        <v>2</v>
      </c>
      <c r="I4" s="5">
        <v>3</v>
      </c>
      <c r="J4" s="5" t="s">
        <v>5</v>
      </c>
      <c r="K4" s="48"/>
      <c r="L4" s="48"/>
      <c r="M4" s="51"/>
    </row>
    <row r="5" spans="1:13" ht="15" x14ac:dyDescent="0.2">
      <c r="A5" s="52" t="s">
        <v>59</v>
      </c>
      <c r="B5" s="53"/>
      <c r="C5" s="53"/>
      <c r="D5" s="53"/>
      <c r="E5" s="53"/>
      <c r="F5" s="53"/>
      <c r="G5" s="53"/>
      <c r="H5" s="53"/>
      <c r="I5" s="53"/>
      <c r="J5" s="53"/>
    </row>
    <row r="6" spans="1:13" x14ac:dyDescent="0.2">
      <c r="A6" s="6" t="s">
        <v>61</v>
      </c>
      <c r="B6" s="6" t="s">
        <v>62</v>
      </c>
      <c r="C6" s="6" t="s">
        <v>63</v>
      </c>
      <c r="D6" s="6" t="str">
        <f>"0,8100"</f>
        <v>0,8100</v>
      </c>
      <c r="E6" s="6" t="s">
        <v>50</v>
      </c>
      <c r="F6" s="6" t="s">
        <v>51</v>
      </c>
      <c r="G6" s="8" t="s">
        <v>64</v>
      </c>
      <c r="H6" s="8" t="s">
        <v>65</v>
      </c>
      <c r="I6" s="8" t="s">
        <v>66</v>
      </c>
      <c r="J6" s="7"/>
      <c r="K6" s="11" t="str">
        <f>"95,0"</f>
        <v>95,0</v>
      </c>
      <c r="L6" s="12" t="str">
        <f>"76,9500"</f>
        <v>76,9500</v>
      </c>
      <c r="M6" s="6" t="s">
        <v>58</v>
      </c>
    </row>
    <row r="8" spans="1:13" ht="15" x14ac:dyDescent="0.2">
      <c r="A8" s="54" t="s">
        <v>69</v>
      </c>
      <c r="B8" s="54"/>
      <c r="C8" s="54"/>
      <c r="D8" s="54"/>
      <c r="E8" s="54"/>
      <c r="F8" s="54"/>
      <c r="G8" s="54"/>
      <c r="H8" s="54"/>
      <c r="I8" s="54"/>
      <c r="J8" s="54"/>
    </row>
    <row r="9" spans="1:13" x14ac:dyDescent="0.2">
      <c r="A9" s="19" t="s">
        <v>71</v>
      </c>
      <c r="B9" s="19" t="s">
        <v>72</v>
      </c>
      <c r="C9" s="19" t="s">
        <v>73</v>
      </c>
      <c r="D9" s="19" t="str">
        <f>"0,6248"</f>
        <v>0,6248</v>
      </c>
      <c r="E9" s="19" t="s">
        <v>50</v>
      </c>
      <c r="F9" s="19" t="s">
        <v>51</v>
      </c>
      <c r="G9" s="20" t="s">
        <v>64</v>
      </c>
      <c r="H9" s="20" t="s">
        <v>65</v>
      </c>
      <c r="I9" s="20" t="s">
        <v>74</v>
      </c>
      <c r="J9" s="21"/>
      <c r="K9" s="28" t="str">
        <f>"97,5"</f>
        <v>97,5</v>
      </c>
      <c r="L9" s="29" t="str">
        <f>"65,7967"</f>
        <v>65,7967</v>
      </c>
      <c r="M9" s="19" t="s">
        <v>58</v>
      </c>
    </row>
    <row r="10" spans="1:13" x14ac:dyDescent="0.2">
      <c r="A10" s="25" t="s">
        <v>387</v>
      </c>
      <c r="B10" s="25" t="s">
        <v>388</v>
      </c>
      <c r="C10" s="25" t="s">
        <v>389</v>
      </c>
      <c r="D10" s="25" t="str">
        <f>"0,6341"</f>
        <v>0,6341</v>
      </c>
      <c r="E10" s="25" t="s">
        <v>390</v>
      </c>
      <c r="F10" s="25" t="s">
        <v>51</v>
      </c>
      <c r="G10" s="26" t="s">
        <v>83</v>
      </c>
      <c r="H10" s="26" t="s">
        <v>292</v>
      </c>
      <c r="I10" s="26" t="s">
        <v>418</v>
      </c>
      <c r="J10" s="27"/>
      <c r="K10" s="32" t="str">
        <f>"192,5"</f>
        <v>192,5</v>
      </c>
      <c r="L10" s="33" t="str">
        <f>"122,0643"</f>
        <v>122,0643</v>
      </c>
      <c r="M10" s="25" t="s">
        <v>91</v>
      </c>
    </row>
    <row r="12" spans="1:13" ht="15" x14ac:dyDescent="0.2">
      <c r="A12" s="54" t="s">
        <v>107</v>
      </c>
      <c r="B12" s="54"/>
      <c r="C12" s="54"/>
      <c r="D12" s="54"/>
      <c r="E12" s="54"/>
      <c r="F12" s="54"/>
      <c r="G12" s="54"/>
      <c r="H12" s="54"/>
      <c r="I12" s="54"/>
      <c r="J12" s="54"/>
    </row>
    <row r="13" spans="1:13" x14ac:dyDescent="0.2">
      <c r="A13" s="6" t="s">
        <v>397</v>
      </c>
      <c r="B13" s="6" t="s">
        <v>398</v>
      </c>
      <c r="C13" s="6" t="s">
        <v>399</v>
      </c>
      <c r="D13" s="6" t="str">
        <f>"0,5548"</f>
        <v>0,5548</v>
      </c>
      <c r="E13" s="6" t="s">
        <v>390</v>
      </c>
      <c r="F13" s="6" t="s">
        <v>21</v>
      </c>
      <c r="G13" s="8" t="s">
        <v>391</v>
      </c>
      <c r="H13" s="8" t="s">
        <v>419</v>
      </c>
      <c r="I13" s="7" t="s">
        <v>420</v>
      </c>
      <c r="J13" s="7"/>
      <c r="K13" s="11" t="str">
        <f>"220,0"</f>
        <v>220,0</v>
      </c>
      <c r="L13" s="12" t="str">
        <f>"122,0560"</f>
        <v>122,0560</v>
      </c>
      <c r="M13" s="6" t="s">
        <v>402</v>
      </c>
    </row>
    <row r="15" spans="1:13" ht="15" x14ac:dyDescent="0.2">
      <c r="A15" s="54" t="s">
        <v>287</v>
      </c>
      <c r="B15" s="54"/>
      <c r="C15" s="54"/>
      <c r="D15" s="54"/>
      <c r="E15" s="54"/>
      <c r="F15" s="54"/>
      <c r="G15" s="54"/>
      <c r="H15" s="54"/>
      <c r="I15" s="54"/>
      <c r="J15" s="54"/>
    </row>
    <row r="16" spans="1:13" x14ac:dyDescent="0.2">
      <c r="A16" s="6" t="s">
        <v>422</v>
      </c>
      <c r="B16" s="6" t="s">
        <v>423</v>
      </c>
      <c r="C16" s="6" t="s">
        <v>424</v>
      </c>
      <c r="D16" s="6" t="str">
        <f>"0,5404"</f>
        <v>0,5404</v>
      </c>
      <c r="E16" s="6" t="s">
        <v>50</v>
      </c>
      <c r="F16" s="6" t="s">
        <v>51</v>
      </c>
      <c r="G16" s="7" t="s">
        <v>86</v>
      </c>
      <c r="H16" s="7" t="s">
        <v>106</v>
      </c>
      <c r="I16" s="8" t="s">
        <v>385</v>
      </c>
      <c r="J16" s="7"/>
      <c r="K16" s="11" t="str">
        <f>"175,0"</f>
        <v>175,0</v>
      </c>
      <c r="L16" s="12" t="str">
        <f>"125,7781"</f>
        <v>125,7781</v>
      </c>
      <c r="M16" s="6" t="s">
        <v>58</v>
      </c>
    </row>
    <row r="18" spans="1:6" ht="15" x14ac:dyDescent="0.2">
      <c r="E18" s="9" t="s">
        <v>28</v>
      </c>
      <c r="F18" s="34" t="s">
        <v>520</v>
      </c>
    </row>
    <row r="19" spans="1:6" ht="15" x14ac:dyDescent="0.2">
      <c r="E19" s="9" t="s">
        <v>29</v>
      </c>
      <c r="F19" s="34" t="s">
        <v>523</v>
      </c>
    </row>
    <row r="20" spans="1:6" ht="15" x14ac:dyDescent="0.2">
      <c r="E20" s="9" t="s">
        <v>30</v>
      </c>
      <c r="F20" s="34" t="s">
        <v>521</v>
      </c>
    </row>
    <row r="21" spans="1:6" ht="15" x14ac:dyDescent="0.2">
      <c r="E21" s="9" t="s">
        <v>31</v>
      </c>
      <c r="F21" s="34" t="s">
        <v>524</v>
      </c>
    </row>
    <row r="22" spans="1:6" ht="15" x14ac:dyDescent="0.2">
      <c r="E22" s="9" t="s">
        <v>31</v>
      </c>
      <c r="F22" s="34" t="s">
        <v>522</v>
      </c>
    </row>
    <row r="23" spans="1:6" ht="15" x14ac:dyDescent="0.2">
      <c r="E23" s="9"/>
    </row>
    <row r="24" spans="1:6" ht="15" x14ac:dyDescent="0.2">
      <c r="E24" s="9"/>
    </row>
    <row r="26" spans="1:6" ht="18" x14ac:dyDescent="0.25">
      <c r="A26" s="13" t="s">
        <v>32</v>
      </c>
      <c r="B26" s="13"/>
    </row>
    <row r="27" spans="1:6" ht="15" x14ac:dyDescent="0.2">
      <c r="A27" s="14" t="s">
        <v>33</v>
      </c>
      <c r="B27" s="14"/>
    </row>
    <row r="28" spans="1:6" ht="14.25" x14ac:dyDescent="0.2">
      <c r="A28" s="16"/>
      <c r="B28" s="17" t="s">
        <v>113</v>
      </c>
    </row>
    <row r="29" spans="1:6" ht="15" x14ac:dyDescent="0.2">
      <c r="A29" s="18" t="s">
        <v>35</v>
      </c>
      <c r="B29" s="18" t="s">
        <v>36</v>
      </c>
      <c r="C29" s="18" t="s">
        <v>37</v>
      </c>
      <c r="D29" s="18" t="s">
        <v>193</v>
      </c>
      <c r="E29" s="18" t="s">
        <v>39</v>
      </c>
    </row>
    <row r="30" spans="1:6" x14ac:dyDescent="0.2">
      <c r="A30" s="15" t="s">
        <v>60</v>
      </c>
      <c r="B30" s="4" t="s">
        <v>113</v>
      </c>
      <c r="C30" s="4" t="s">
        <v>117</v>
      </c>
      <c r="D30" s="4" t="s">
        <v>66</v>
      </c>
      <c r="E30" s="10" t="s">
        <v>425</v>
      </c>
    </row>
    <row r="33" spans="1:5" ht="15" x14ac:dyDescent="0.2">
      <c r="A33" s="14" t="s">
        <v>120</v>
      </c>
      <c r="B33" s="14"/>
    </row>
    <row r="34" spans="1:5" ht="14.25" x14ac:dyDescent="0.2">
      <c r="A34" s="16"/>
      <c r="B34" s="17" t="s">
        <v>121</v>
      </c>
    </row>
    <row r="35" spans="1:5" ht="15" x14ac:dyDescent="0.2">
      <c r="A35" s="18" t="s">
        <v>35</v>
      </c>
      <c r="B35" s="18" t="s">
        <v>36</v>
      </c>
      <c r="C35" s="18" t="s">
        <v>37</v>
      </c>
      <c r="D35" s="18" t="s">
        <v>193</v>
      </c>
      <c r="E35" s="18" t="s">
        <v>39</v>
      </c>
    </row>
    <row r="36" spans="1:5" x14ac:dyDescent="0.2">
      <c r="A36" s="15" t="s">
        <v>70</v>
      </c>
      <c r="B36" s="4" t="s">
        <v>126</v>
      </c>
      <c r="C36" s="4" t="s">
        <v>127</v>
      </c>
      <c r="D36" s="4" t="s">
        <v>74</v>
      </c>
      <c r="E36" s="10" t="s">
        <v>426</v>
      </c>
    </row>
    <row r="38" spans="1:5" ht="14.25" x14ac:dyDescent="0.2">
      <c r="A38" s="16"/>
      <c r="B38" s="17" t="s">
        <v>113</v>
      </c>
    </row>
    <row r="39" spans="1:5" ht="15" x14ac:dyDescent="0.2">
      <c r="A39" s="18" t="s">
        <v>35</v>
      </c>
      <c r="B39" s="18" t="s">
        <v>36</v>
      </c>
      <c r="C39" s="18" t="s">
        <v>37</v>
      </c>
      <c r="D39" s="18" t="s">
        <v>193</v>
      </c>
      <c r="E39" s="18" t="s">
        <v>39</v>
      </c>
    </row>
    <row r="40" spans="1:5" x14ac:dyDescent="0.2">
      <c r="A40" s="15" t="s">
        <v>386</v>
      </c>
      <c r="B40" s="4" t="s">
        <v>113</v>
      </c>
      <c r="C40" s="4" t="s">
        <v>127</v>
      </c>
      <c r="D40" s="4" t="s">
        <v>418</v>
      </c>
      <c r="E40" s="10" t="s">
        <v>427</v>
      </c>
    </row>
    <row r="41" spans="1:5" x14ac:dyDescent="0.2">
      <c r="A41" s="15" t="s">
        <v>396</v>
      </c>
      <c r="B41" s="4" t="s">
        <v>113</v>
      </c>
      <c r="C41" s="4" t="s">
        <v>123</v>
      </c>
      <c r="D41" s="4" t="s">
        <v>419</v>
      </c>
      <c r="E41" s="10" t="s">
        <v>428</v>
      </c>
    </row>
    <row r="43" spans="1:5" ht="14.25" x14ac:dyDescent="0.2">
      <c r="A43" s="16"/>
      <c r="B43" s="17" t="s">
        <v>34</v>
      </c>
    </row>
    <row r="44" spans="1:5" ht="15" x14ac:dyDescent="0.2">
      <c r="A44" s="18" t="s">
        <v>35</v>
      </c>
      <c r="B44" s="18" t="s">
        <v>36</v>
      </c>
      <c r="C44" s="18" t="s">
        <v>37</v>
      </c>
      <c r="D44" s="18" t="s">
        <v>193</v>
      </c>
      <c r="E44" s="18" t="s">
        <v>39</v>
      </c>
    </row>
    <row r="45" spans="1:5" x14ac:dyDescent="0.2">
      <c r="A45" s="15" t="s">
        <v>421</v>
      </c>
      <c r="B45" s="4" t="s">
        <v>429</v>
      </c>
      <c r="C45" s="4" t="s">
        <v>311</v>
      </c>
      <c r="D45" s="4" t="s">
        <v>385</v>
      </c>
      <c r="E45" s="10" t="s">
        <v>430</v>
      </c>
    </row>
  </sheetData>
  <mergeCells count="15">
    <mergeCell ref="A8:J8"/>
    <mergeCell ref="A12:J12"/>
    <mergeCell ref="A15:J15"/>
    <mergeCell ref="K3:K4"/>
    <mergeCell ref="L3:L4"/>
    <mergeCell ref="M3:M4"/>
    <mergeCell ref="A5:J5"/>
    <mergeCell ref="A1:M2"/>
    <mergeCell ref="A3:A4"/>
    <mergeCell ref="B3:B4"/>
    <mergeCell ref="C3:C4"/>
    <mergeCell ref="D3:D4"/>
    <mergeCell ref="E3:E4"/>
    <mergeCell ref="F3:F4"/>
    <mergeCell ref="G3:J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D22" sqref="D22"/>
    </sheetView>
  </sheetViews>
  <sheetFormatPr defaultRowHeight="12.75" x14ac:dyDescent="0.2"/>
  <cols>
    <col min="1" max="1" width="26" style="4" bestFit="1" customWidth="1"/>
    <col min="2" max="2" width="26.28515625" style="4" bestFit="1" customWidth="1"/>
    <col min="3" max="3" width="15.5703125" style="4" bestFit="1" customWidth="1"/>
    <col min="4" max="4" width="11.85546875" style="4" bestFit="1" customWidth="1"/>
    <col min="5" max="5" width="22.7109375" style="4" bestFit="1" customWidth="1"/>
    <col min="6" max="6" width="24.7109375" style="4" bestFit="1" customWidth="1"/>
    <col min="7" max="9" width="5.5703125" style="3" customWidth="1"/>
    <col min="10" max="10" width="4.85546875" style="3" customWidth="1"/>
    <col min="11" max="11" width="7.85546875" style="10" bestFit="1" customWidth="1"/>
    <col min="12" max="12" width="8.5703125" style="2" bestFit="1" customWidth="1"/>
    <col min="13" max="13" width="17.85546875" style="4" bestFit="1" customWidth="1"/>
    <col min="14" max="16384" width="9.140625" style="3"/>
  </cols>
  <sheetData>
    <row r="1" spans="1:13" s="2" customFormat="1" ht="29.1" customHeight="1" x14ac:dyDescent="0.2">
      <c r="A1" s="39" t="s">
        <v>413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s="2" customFormat="1" ht="62.1" customHeight="1" thickBot="1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4"/>
    </row>
    <row r="3" spans="1:13" s="1" customFormat="1" ht="12.75" customHeight="1" x14ac:dyDescent="0.2">
      <c r="A3" s="45" t="s">
        <v>0</v>
      </c>
      <c r="B3" s="47" t="s">
        <v>6</v>
      </c>
      <c r="C3" s="47" t="s">
        <v>10</v>
      </c>
      <c r="D3" s="49" t="s">
        <v>11</v>
      </c>
      <c r="E3" s="49" t="s">
        <v>4</v>
      </c>
      <c r="F3" s="49" t="s">
        <v>7</v>
      </c>
      <c r="G3" s="49" t="s">
        <v>14</v>
      </c>
      <c r="H3" s="49"/>
      <c r="I3" s="49"/>
      <c r="J3" s="49"/>
      <c r="K3" s="49" t="s">
        <v>201</v>
      </c>
      <c r="L3" s="49" t="s">
        <v>3</v>
      </c>
      <c r="M3" s="50" t="s">
        <v>2</v>
      </c>
    </row>
    <row r="4" spans="1:13" s="1" customFormat="1" ht="21" customHeight="1" thickBot="1" x14ac:dyDescent="0.25">
      <c r="A4" s="46"/>
      <c r="B4" s="48"/>
      <c r="C4" s="48"/>
      <c r="D4" s="48"/>
      <c r="E4" s="48"/>
      <c r="F4" s="48"/>
      <c r="G4" s="5">
        <v>1</v>
      </c>
      <c r="H4" s="5">
        <v>2</v>
      </c>
      <c r="I4" s="5">
        <v>3</v>
      </c>
      <c r="J4" s="5" t="s">
        <v>5</v>
      </c>
      <c r="K4" s="48"/>
      <c r="L4" s="48"/>
      <c r="M4" s="51"/>
    </row>
    <row r="5" spans="1:13" ht="15" x14ac:dyDescent="0.2">
      <c r="A5" s="52" t="s">
        <v>287</v>
      </c>
      <c r="B5" s="53"/>
      <c r="C5" s="53"/>
      <c r="D5" s="53"/>
      <c r="E5" s="53"/>
      <c r="F5" s="53"/>
      <c r="G5" s="53"/>
      <c r="H5" s="53"/>
      <c r="I5" s="53"/>
      <c r="J5" s="53"/>
    </row>
    <row r="6" spans="1:13" x14ac:dyDescent="0.2">
      <c r="A6" s="6" t="s">
        <v>414</v>
      </c>
      <c r="B6" s="6" t="s">
        <v>332</v>
      </c>
      <c r="C6" s="6" t="s">
        <v>333</v>
      </c>
      <c r="D6" s="6" t="str">
        <f>"0,5407"</f>
        <v>0,5407</v>
      </c>
      <c r="E6" s="6" t="s">
        <v>50</v>
      </c>
      <c r="F6" s="6" t="s">
        <v>51</v>
      </c>
      <c r="G6" s="8" t="s">
        <v>415</v>
      </c>
      <c r="H6" s="7" t="s">
        <v>89</v>
      </c>
      <c r="I6" s="7" t="s">
        <v>342</v>
      </c>
      <c r="J6" s="7"/>
      <c r="K6" s="11" t="str">
        <f>"235,0"</f>
        <v>235,0</v>
      </c>
      <c r="L6" s="12" t="str">
        <f>"127,0645"</f>
        <v>127,0645</v>
      </c>
      <c r="M6" s="6" t="s">
        <v>58</v>
      </c>
    </row>
    <row r="8" spans="1:13" ht="15" x14ac:dyDescent="0.2">
      <c r="E8" s="9" t="s">
        <v>28</v>
      </c>
      <c r="F8" s="34" t="s">
        <v>520</v>
      </c>
    </row>
    <row r="9" spans="1:13" ht="15" x14ac:dyDescent="0.2">
      <c r="E9" s="9" t="s">
        <v>29</v>
      </c>
      <c r="F9" s="34" t="s">
        <v>523</v>
      </c>
    </row>
    <row r="10" spans="1:13" ht="15" x14ac:dyDescent="0.2">
      <c r="E10" s="9" t="s">
        <v>30</v>
      </c>
      <c r="F10" s="34" t="s">
        <v>521</v>
      </c>
    </row>
    <row r="11" spans="1:13" ht="15" x14ac:dyDescent="0.2">
      <c r="E11" s="9" t="s">
        <v>31</v>
      </c>
      <c r="F11" s="34" t="s">
        <v>524</v>
      </c>
    </row>
    <row r="12" spans="1:13" ht="15" x14ac:dyDescent="0.2">
      <c r="E12" s="9" t="s">
        <v>31</v>
      </c>
      <c r="F12" s="34" t="s">
        <v>522</v>
      </c>
    </row>
    <row r="13" spans="1:13" ht="15" x14ac:dyDescent="0.2">
      <c r="E13" s="9"/>
    </row>
    <row r="14" spans="1:13" ht="15" x14ac:dyDescent="0.2">
      <c r="E14" s="9"/>
    </row>
    <row r="16" spans="1:13" ht="18" x14ac:dyDescent="0.25">
      <c r="A16" s="13" t="s">
        <v>32</v>
      </c>
      <c r="B16" s="13"/>
    </row>
    <row r="17" spans="1:5" ht="15" x14ac:dyDescent="0.2">
      <c r="A17" s="14" t="s">
        <v>120</v>
      </c>
      <c r="B17" s="14"/>
    </row>
    <row r="18" spans="1:5" ht="14.25" x14ac:dyDescent="0.2">
      <c r="A18" s="16"/>
      <c r="B18" s="17" t="s">
        <v>113</v>
      </c>
    </row>
    <row r="19" spans="1:5" ht="15" x14ac:dyDescent="0.2">
      <c r="A19" s="18" t="s">
        <v>35</v>
      </c>
      <c r="B19" s="18" t="s">
        <v>36</v>
      </c>
      <c r="C19" s="18" t="s">
        <v>37</v>
      </c>
      <c r="D19" s="18" t="s">
        <v>193</v>
      </c>
      <c r="E19" s="18" t="s">
        <v>39</v>
      </c>
    </row>
    <row r="20" spans="1:5" x14ac:dyDescent="0.2">
      <c r="A20" s="15" t="s">
        <v>330</v>
      </c>
      <c r="B20" s="4" t="s">
        <v>113</v>
      </c>
      <c r="C20" s="4" t="s">
        <v>311</v>
      </c>
      <c r="D20" s="4" t="s">
        <v>415</v>
      </c>
      <c r="E20" s="10" t="s">
        <v>416</v>
      </c>
    </row>
  </sheetData>
  <mergeCells count="12">
    <mergeCell ref="K3:K4"/>
    <mergeCell ref="L3:L4"/>
    <mergeCell ref="M3:M4"/>
    <mergeCell ref="A5:J5"/>
    <mergeCell ref="A1:M2"/>
    <mergeCell ref="A3:A4"/>
    <mergeCell ref="B3:B4"/>
    <mergeCell ref="C3:C4"/>
    <mergeCell ref="D3:D4"/>
    <mergeCell ref="E3:E4"/>
    <mergeCell ref="F3:F4"/>
    <mergeCell ref="G3:J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workbookViewId="0">
      <selection activeCell="E32" sqref="E32"/>
    </sheetView>
  </sheetViews>
  <sheetFormatPr defaultRowHeight="12.75" x14ac:dyDescent="0.2"/>
  <cols>
    <col min="1" max="1" width="26" style="4" bestFit="1" customWidth="1"/>
    <col min="2" max="2" width="28.5703125" style="4" bestFit="1" customWidth="1"/>
    <col min="3" max="3" width="15.5703125" style="4" bestFit="1" customWidth="1"/>
    <col min="4" max="4" width="11.85546875" style="4" bestFit="1" customWidth="1"/>
    <col min="5" max="5" width="32.28515625" style="4" bestFit="1" customWidth="1"/>
    <col min="6" max="6" width="29" style="4" bestFit="1" customWidth="1"/>
    <col min="7" max="9" width="5.5703125" style="3" customWidth="1"/>
    <col min="10" max="10" width="4.85546875" style="3" customWidth="1"/>
    <col min="11" max="11" width="7.85546875" style="10" bestFit="1" customWidth="1"/>
    <col min="12" max="12" width="8.5703125" style="2" bestFit="1" customWidth="1"/>
    <col min="13" max="13" width="30.140625" style="4" bestFit="1" customWidth="1"/>
    <col min="14" max="16384" width="9.140625" style="3"/>
  </cols>
  <sheetData>
    <row r="1" spans="1:13" s="2" customFormat="1" ht="29.1" customHeight="1" x14ac:dyDescent="0.2">
      <c r="A1" s="39" t="s">
        <v>367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s="2" customFormat="1" ht="62.1" customHeight="1" thickBot="1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4"/>
    </row>
    <row r="3" spans="1:13" s="1" customFormat="1" ht="12.75" customHeight="1" x14ac:dyDescent="0.2">
      <c r="A3" s="45" t="s">
        <v>0</v>
      </c>
      <c r="B3" s="47" t="s">
        <v>6</v>
      </c>
      <c r="C3" s="47" t="s">
        <v>10</v>
      </c>
      <c r="D3" s="49" t="s">
        <v>11</v>
      </c>
      <c r="E3" s="49" t="s">
        <v>4</v>
      </c>
      <c r="F3" s="49" t="s">
        <v>7</v>
      </c>
      <c r="G3" s="49" t="s">
        <v>14</v>
      </c>
      <c r="H3" s="49"/>
      <c r="I3" s="49"/>
      <c r="J3" s="49"/>
      <c r="K3" s="49" t="s">
        <v>201</v>
      </c>
      <c r="L3" s="49" t="s">
        <v>3</v>
      </c>
      <c r="M3" s="50" t="s">
        <v>2</v>
      </c>
    </row>
    <row r="4" spans="1:13" s="1" customFormat="1" ht="21" customHeight="1" thickBot="1" x14ac:dyDescent="0.25">
      <c r="A4" s="46"/>
      <c r="B4" s="48"/>
      <c r="C4" s="48"/>
      <c r="D4" s="48"/>
      <c r="E4" s="48"/>
      <c r="F4" s="48"/>
      <c r="G4" s="5">
        <v>1</v>
      </c>
      <c r="H4" s="5">
        <v>2</v>
      </c>
      <c r="I4" s="5">
        <v>3</v>
      </c>
      <c r="J4" s="5" t="s">
        <v>5</v>
      </c>
      <c r="K4" s="48"/>
      <c r="L4" s="48"/>
      <c r="M4" s="51"/>
    </row>
    <row r="5" spans="1:13" ht="15" x14ac:dyDescent="0.2">
      <c r="A5" s="52" t="s">
        <v>45</v>
      </c>
      <c r="B5" s="53"/>
      <c r="C5" s="53"/>
      <c r="D5" s="53"/>
      <c r="E5" s="53"/>
      <c r="F5" s="53"/>
      <c r="G5" s="53"/>
      <c r="H5" s="53"/>
      <c r="I5" s="53"/>
      <c r="J5" s="53"/>
    </row>
    <row r="6" spans="1:13" x14ac:dyDescent="0.2">
      <c r="A6" s="6" t="s">
        <v>47</v>
      </c>
      <c r="B6" s="6" t="s">
        <v>48</v>
      </c>
      <c r="C6" s="6" t="s">
        <v>368</v>
      </c>
      <c r="D6" s="6" t="str">
        <f>"0,9133"</f>
        <v>0,9133</v>
      </c>
      <c r="E6" s="6" t="s">
        <v>50</v>
      </c>
      <c r="F6" s="6" t="s">
        <v>51</v>
      </c>
      <c r="G6" s="8" t="s">
        <v>22</v>
      </c>
      <c r="H6" s="7" t="s">
        <v>57</v>
      </c>
      <c r="I6" s="7" t="s">
        <v>57</v>
      </c>
      <c r="J6" s="7"/>
      <c r="K6" s="11" t="str">
        <f>"100,0"</f>
        <v>100,0</v>
      </c>
      <c r="L6" s="12" t="str">
        <f>"91,3300"</f>
        <v>91,3300</v>
      </c>
      <c r="M6" s="6" t="s">
        <v>58</v>
      </c>
    </row>
    <row r="8" spans="1:13" ht="15" x14ac:dyDescent="0.2">
      <c r="A8" s="54" t="s">
        <v>59</v>
      </c>
      <c r="B8" s="54"/>
      <c r="C8" s="54"/>
      <c r="D8" s="54"/>
      <c r="E8" s="54"/>
      <c r="F8" s="54"/>
      <c r="G8" s="54"/>
      <c r="H8" s="54"/>
      <c r="I8" s="54"/>
      <c r="J8" s="54"/>
    </row>
    <row r="9" spans="1:13" x14ac:dyDescent="0.2">
      <c r="A9" s="19" t="s">
        <v>370</v>
      </c>
      <c r="B9" s="19" t="s">
        <v>371</v>
      </c>
      <c r="C9" s="19" t="s">
        <v>372</v>
      </c>
      <c r="D9" s="19" t="str">
        <f>"0,7969"</f>
        <v>0,7969</v>
      </c>
      <c r="E9" s="19" t="s">
        <v>170</v>
      </c>
      <c r="F9" s="19" t="s">
        <v>373</v>
      </c>
      <c r="G9" s="20" t="s">
        <v>85</v>
      </c>
      <c r="H9" s="20" t="s">
        <v>86</v>
      </c>
      <c r="I9" s="20" t="s">
        <v>106</v>
      </c>
      <c r="J9" s="21"/>
      <c r="K9" s="28" t="str">
        <f>"170,0"</f>
        <v>170,0</v>
      </c>
      <c r="L9" s="29" t="str">
        <f>"135,4730"</f>
        <v>135,4730</v>
      </c>
      <c r="M9" s="19" t="s">
        <v>374</v>
      </c>
    </row>
    <row r="10" spans="1:13" x14ac:dyDescent="0.2">
      <c r="A10" s="25" t="s">
        <v>242</v>
      </c>
      <c r="B10" s="25" t="s">
        <v>62</v>
      </c>
      <c r="C10" s="25" t="s">
        <v>63</v>
      </c>
      <c r="D10" s="25" t="str">
        <f>"0,8100"</f>
        <v>0,8100</v>
      </c>
      <c r="E10" s="25" t="s">
        <v>50</v>
      </c>
      <c r="F10" s="25" t="s">
        <v>51</v>
      </c>
      <c r="G10" s="26" t="s">
        <v>22</v>
      </c>
      <c r="H10" s="26" t="s">
        <v>57</v>
      </c>
      <c r="I10" s="27" t="s">
        <v>68</v>
      </c>
      <c r="J10" s="27"/>
      <c r="K10" s="32" t="str">
        <f>"110,0"</f>
        <v>110,0</v>
      </c>
      <c r="L10" s="33" t="str">
        <f>"89,1000"</f>
        <v>89,1000</v>
      </c>
      <c r="M10" s="25" t="s">
        <v>58</v>
      </c>
    </row>
    <row r="12" spans="1:13" ht="15" x14ac:dyDescent="0.2">
      <c r="A12" s="54" t="s">
        <v>15</v>
      </c>
      <c r="B12" s="54"/>
      <c r="C12" s="54"/>
      <c r="D12" s="54"/>
      <c r="E12" s="54"/>
      <c r="F12" s="54"/>
      <c r="G12" s="54"/>
      <c r="H12" s="54"/>
      <c r="I12" s="54"/>
      <c r="J12" s="54"/>
    </row>
    <row r="13" spans="1:13" x14ac:dyDescent="0.2">
      <c r="A13" s="6" t="s">
        <v>376</v>
      </c>
      <c r="B13" s="6" t="s">
        <v>377</v>
      </c>
      <c r="C13" s="6" t="s">
        <v>378</v>
      </c>
      <c r="D13" s="6" t="str">
        <f>"0,8206"</f>
        <v>0,8206</v>
      </c>
      <c r="E13" s="6" t="s">
        <v>225</v>
      </c>
      <c r="F13" s="6" t="s">
        <v>21</v>
      </c>
      <c r="G13" s="8" t="s">
        <v>84</v>
      </c>
      <c r="H13" s="8" t="s">
        <v>98</v>
      </c>
      <c r="I13" s="7" t="s">
        <v>379</v>
      </c>
      <c r="J13" s="7"/>
      <c r="K13" s="11" t="str">
        <f>"200,0"</f>
        <v>200,0</v>
      </c>
      <c r="L13" s="12" t="str">
        <f>"164,1200"</f>
        <v>164,1200</v>
      </c>
      <c r="M13" s="6" t="s">
        <v>227</v>
      </c>
    </row>
    <row r="15" spans="1:13" ht="15" x14ac:dyDescent="0.2">
      <c r="A15" s="54" t="s">
        <v>59</v>
      </c>
      <c r="B15" s="54"/>
      <c r="C15" s="54"/>
      <c r="D15" s="54"/>
      <c r="E15" s="54"/>
      <c r="F15" s="54"/>
      <c r="G15" s="54"/>
      <c r="H15" s="54"/>
      <c r="I15" s="54"/>
      <c r="J15" s="54"/>
    </row>
    <row r="16" spans="1:13" x14ac:dyDescent="0.2">
      <c r="A16" s="6" t="s">
        <v>381</v>
      </c>
      <c r="B16" s="6" t="s">
        <v>382</v>
      </c>
      <c r="C16" s="6" t="s">
        <v>383</v>
      </c>
      <c r="D16" s="6" t="str">
        <f>"0,7789"</f>
        <v>0,7789</v>
      </c>
      <c r="E16" s="6" t="s">
        <v>225</v>
      </c>
      <c r="F16" s="6" t="s">
        <v>21</v>
      </c>
      <c r="G16" s="8" t="s">
        <v>85</v>
      </c>
      <c r="H16" s="8" t="s">
        <v>384</v>
      </c>
      <c r="I16" s="8" t="s">
        <v>385</v>
      </c>
      <c r="J16" s="7"/>
      <c r="K16" s="11" t="str">
        <f>"175,0"</f>
        <v>175,0</v>
      </c>
      <c r="L16" s="12" t="str">
        <f>"144,4860"</f>
        <v>144,4860</v>
      </c>
      <c r="M16" s="6" t="s">
        <v>227</v>
      </c>
    </row>
    <row r="18" spans="1:13" ht="15" x14ac:dyDescent="0.2">
      <c r="A18" s="54" t="s">
        <v>69</v>
      </c>
      <c r="B18" s="54"/>
      <c r="C18" s="54"/>
      <c r="D18" s="54"/>
      <c r="E18" s="54"/>
      <c r="F18" s="54"/>
      <c r="G18" s="54"/>
      <c r="H18" s="54"/>
      <c r="I18" s="54"/>
      <c r="J18" s="54"/>
    </row>
    <row r="19" spans="1:13" x14ac:dyDescent="0.2">
      <c r="A19" s="6" t="s">
        <v>387</v>
      </c>
      <c r="B19" s="6" t="s">
        <v>388</v>
      </c>
      <c r="C19" s="6" t="s">
        <v>389</v>
      </c>
      <c r="D19" s="6" t="str">
        <f>"0,6341"</f>
        <v>0,6341</v>
      </c>
      <c r="E19" s="6" t="s">
        <v>390</v>
      </c>
      <c r="F19" s="6" t="s">
        <v>51</v>
      </c>
      <c r="G19" s="7" t="s">
        <v>391</v>
      </c>
      <c r="H19" s="8" t="s">
        <v>391</v>
      </c>
      <c r="I19" s="7" t="s">
        <v>158</v>
      </c>
      <c r="J19" s="7"/>
      <c r="K19" s="11" t="str">
        <f>"210,0"</f>
        <v>210,0</v>
      </c>
      <c r="L19" s="12" t="str">
        <f>"133,1610"</f>
        <v>133,1610</v>
      </c>
      <c r="M19" s="6" t="s">
        <v>91</v>
      </c>
    </row>
    <row r="21" spans="1:13" ht="15" x14ac:dyDescent="0.2">
      <c r="A21" s="54" t="s">
        <v>77</v>
      </c>
      <c r="B21" s="54"/>
      <c r="C21" s="54"/>
      <c r="D21" s="54"/>
      <c r="E21" s="54"/>
      <c r="F21" s="54"/>
      <c r="G21" s="54"/>
      <c r="H21" s="54"/>
      <c r="I21" s="54"/>
      <c r="J21" s="54"/>
    </row>
    <row r="22" spans="1:13" x14ac:dyDescent="0.2">
      <c r="A22" s="6" t="s">
        <v>393</v>
      </c>
      <c r="B22" s="6" t="s">
        <v>394</v>
      </c>
      <c r="C22" s="6" t="s">
        <v>395</v>
      </c>
      <c r="D22" s="6" t="str">
        <f>"0,5947"</f>
        <v>0,5947</v>
      </c>
      <c r="E22" s="6" t="s">
        <v>207</v>
      </c>
      <c r="F22" s="6" t="s">
        <v>208</v>
      </c>
      <c r="G22" s="8" t="s">
        <v>86</v>
      </c>
      <c r="H22" s="8" t="s">
        <v>106</v>
      </c>
      <c r="I22" s="8" t="s">
        <v>83</v>
      </c>
      <c r="J22" s="7"/>
      <c r="K22" s="11" t="str">
        <f>"180,0"</f>
        <v>180,0</v>
      </c>
      <c r="L22" s="12" t="str">
        <f>"176,0907"</f>
        <v>176,0907</v>
      </c>
      <c r="M22" s="6" t="s">
        <v>210</v>
      </c>
    </row>
    <row r="24" spans="1:13" ht="15" x14ac:dyDescent="0.2">
      <c r="A24" s="54" t="s">
        <v>107</v>
      </c>
      <c r="B24" s="54"/>
      <c r="C24" s="54"/>
      <c r="D24" s="54"/>
      <c r="E24" s="54"/>
      <c r="F24" s="54"/>
      <c r="G24" s="54"/>
      <c r="H24" s="54"/>
      <c r="I24" s="54"/>
      <c r="J24" s="54"/>
    </row>
    <row r="25" spans="1:13" x14ac:dyDescent="0.2">
      <c r="A25" s="6" t="s">
        <v>397</v>
      </c>
      <c r="B25" s="6" t="s">
        <v>398</v>
      </c>
      <c r="C25" s="6" t="s">
        <v>399</v>
      </c>
      <c r="D25" s="6" t="str">
        <f>"0,5548"</f>
        <v>0,5548</v>
      </c>
      <c r="E25" s="6" t="s">
        <v>390</v>
      </c>
      <c r="F25" s="6" t="s">
        <v>21</v>
      </c>
      <c r="G25" s="8" t="s">
        <v>400</v>
      </c>
      <c r="H25" s="8" t="s">
        <v>88</v>
      </c>
      <c r="I25" s="8" t="s">
        <v>401</v>
      </c>
      <c r="J25" s="7"/>
      <c r="K25" s="11" t="str">
        <f>"257,5"</f>
        <v>257,5</v>
      </c>
      <c r="L25" s="12" t="str">
        <f>"142,8610"</f>
        <v>142,8610</v>
      </c>
      <c r="M25" s="6" t="s">
        <v>402</v>
      </c>
    </row>
    <row r="27" spans="1:13" ht="15" x14ac:dyDescent="0.2">
      <c r="E27" s="9" t="s">
        <v>28</v>
      </c>
      <c r="F27" s="34" t="s">
        <v>520</v>
      </c>
    </row>
    <row r="28" spans="1:13" ht="15" x14ac:dyDescent="0.2">
      <c r="E28" s="9" t="s">
        <v>29</v>
      </c>
      <c r="F28" s="34" t="s">
        <v>523</v>
      </c>
    </row>
    <row r="29" spans="1:13" ht="15" x14ac:dyDescent="0.2">
      <c r="E29" s="9" t="s">
        <v>30</v>
      </c>
      <c r="F29" s="34" t="s">
        <v>521</v>
      </c>
    </row>
    <row r="30" spans="1:13" ht="15" x14ac:dyDescent="0.2">
      <c r="E30" s="9" t="s">
        <v>31</v>
      </c>
      <c r="F30" s="34" t="s">
        <v>524</v>
      </c>
    </row>
    <row r="31" spans="1:13" ht="15" x14ac:dyDescent="0.2">
      <c r="E31" s="9" t="s">
        <v>31</v>
      </c>
      <c r="F31" s="34" t="s">
        <v>522</v>
      </c>
    </row>
    <row r="32" spans="1:13" ht="15" x14ac:dyDescent="0.2">
      <c r="E32" s="9"/>
    </row>
    <row r="33" spans="1:5" ht="15" x14ac:dyDescent="0.2">
      <c r="E33" s="9"/>
    </row>
    <row r="35" spans="1:5" ht="18" x14ac:dyDescent="0.25">
      <c r="A35" s="13" t="s">
        <v>32</v>
      </c>
      <c r="B35" s="13"/>
    </row>
    <row r="36" spans="1:5" ht="15" x14ac:dyDescent="0.2">
      <c r="A36" s="14" t="s">
        <v>33</v>
      </c>
      <c r="B36" s="14"/>
    </row>
    <row r="37" spans="1:5" ht="14.25" x14ac:dyDescent="0.2">
      <c r="A37" s="16"/>
      <c r="B37" s="17" t="s">
        <v>113</v>
      </c>
    </row>
    <row r="38" spans="1:5" ht="15" x14ac:dyDescent="0.2">
      <c r="A38" s="18" t="s">
        <v>35</v>
      </c>
      <c r="B38" s="18" t="s">
        <v>36</v>
      </c>
      <c r="C38" s="18" t="s">
        <v>37</v>
      </c>
      <c r="D38" s="18" t="s">
        <v>193</v>
      </c>
      <c r="E38" s="18" t="s">
        <v>39</v>
      </c>
    </row>
    <row r="39" spans="1:5" x14ac:dyDescent="0.2">
      <c r="A39" s="15" t="s">
        <v>369</v>
      </c>
      <c r="B39" s="4" t="s">
        <v>113</v>
      </c>
      <c r="C39" s="4" t="s">
        <v>117</v>
      </c>
      <c r="D39" s="4" t="s">
        <v>106</v>
      </c>
      <c r="E39" s="10" t="s">
        <v>403</v>
      </c>
    </row>
    <row r="40" spans="1:5" x14ac:dyDescent="0.2">
      <c r="A40" s="15" t="s">
        <v>46</v>
      </c>
      <c r="B40" s="4" t="s">
        <v>113</v>
      </c>
      <c r="C40" s="4" t="s">
        <v>114</v>
      </c>
      <c r="D40" s="4" t="s">
        <v>22</v>
      </c>
      <c r="E40" s="10" t="s">
        <v>404</v>
      </c>
    </row>
    <row r="41" spans="1:5" x14ac:dyDescent="0.2">
      <c r="A41" s="15" t="s">
        <v>60</v>
      </c>
      <c r="B41" s="4" t="s">
        <v>113</v>
      </c>
      <c r="C41" s="4" t="s">
        <v>117</v>
      </c>
      <c r="D41" s="4" t="s">
        <v>57</v>
      </c>
      <c r="E41" s="10" t="s">
        <v>405</v>
      </c>
    </row>
    <row r="44" spans="1:5" ht="15" x14ac:dyDescent="0.2">
      <c r="A44" s="14" t="s">
        <v>120</v>
      </c>
      <c r="B44" s="14"/>
    </row>
    <row r="45" spans="1:5" ht="14.25" x14ac:dyDescent="0.2">
      <c r="A45" s="16"/>
      <c r="B45" s="17" t="s">
        <v>121</v>
      </c>
    </row>
    <row r="46" spans="1:5" ht="15" x14ac:dyDescent="0.2">
      <c r="A46" s="18" t="s">
        <v>35</v>
      </c>
      <c r="B46" s="18" t="s">
        <v>36</v>
      </c>
      <c r="C46" s="18" t="s">
        <v>37</v>
      </c>
      <c r="D46" s="18" t="s">
        <v>193</v>
      </c>
      <c r="E46" s="18" t="s">
        <v>39</v>
      </c>
    </row>
    <row r="47" spans="1:5" x14ac:dyDescent="0.2">
      <c r="A47" s="15" t="s">
        <v>380</v>
      </c>
      <c r="B47" s="4" t="s">
        <v>406</v>
      </c>
      <c r="C47" s="4" t="s">
        <v>117</v>
      </c>
      <c r="D47" s="4" t="s">
        <v>385</v>
      </c>
      <c r="E47" s="10" t="s">
        <v>407</v>
      </c>
    </row>
    <row r="49" spans="1:5" ht="14.25" x14ac:dyDescent="0.2">
      <c r="A49" s="16"/>
      <c r="B49" s="17" t="s">
        <v>113</v>
      </c>
    </row>
    <row r="50" spans="1:5" ht="15" x14ac:dyDescent="0.2">
      <c r="A50" s="18" t="s">
        <v>35</v>
      </c>
      <c r="B50" s="18" t="s">
        <v>36</v>
      </c>
      <c r="C50" s="18" t="s">
        <v>37</v>
      </c>
      <c r="D50" s="18" t="s">
        <v>193</v>
      </c>
      <c r="E50" s="18" t="s">
        <v>39</v>
      </c>
    </row>
    <row r="51" spans="1:5" x14ac:dyDescent="0.2">
      <c r="A51" s="15" t="s">
        <v>375</v>
      </c>
      <c r="B51" s="4" t="s">
        <v>113</v>
      </c>
      <c r="C51" s="4" t="s">
        <v>41</v>
      </c>
      <c r="D51" s="4" t="s">
        <v>98</v>
      </c>
      <c r="E51" s="10" t="s">
        <v>408</v>
      </c>
    </row>
    <row r="52" spans="1:5" x14ac:dyDescent="0.2">
      <c r="A52" s="15" t="s">
        <v>396</v>
      </c>
      <c r="B52" s="4" t="s">
        <v>113</v>
      </c>
      <c r="C52" s="4" t="s">
        <v>123</v>
      </c>
      <c r="D52" s="4" t="s">
        <v>401</v>
      </c>
      <c r="E52" s="10" t="s">
        <v>409</v>
      </c>
    </row>
    <row r="53" spans="1:5" x14ac:dyDescent="0.2">
      <c r="A53" s="15" t="s">
        <v>386</v>
      </c>
      <c r="B53" s="4" t="s">
        <v>113</v>
      </c>
      <c r="C53" s="4" t="s">
        <v>127</v>
      </c>
      <c r="D53" s="4" t="s">
        <v>391</v>
      </c>
      <c r="E53" s="10" t="s">
        <v>410</v>
      </c>
    </row>
    <row r="55" spans="1:5" ht="14.25" x14ac:dyDescent="0.2">
      <c r="A55" s="16"/>
      <c r="B55" s="17" t="s">
        <v>34</v>
      </c>
    </row>
    <row r="56" spans="1:5" ht="15" x14ac:dyDescent="0.2">
      <c r="A56" s="18" t="s">
        <v>35</v>
      </c>
      <c r="B56" s="18" t="s">
        <v>36</v>
      </c>
      <c r="C56" s="18" t="s">
        <v>37</v>
      </c>
      <c r="D56" s="18" t="s">
        <v>193</v>
      </c>
      <c r="E56" s="18" t="s">
        <v>39</v>
      </c>
    </row>
    <row r="57" spans="1:5" x14ac:dyDescent="0.2">
      <c r="A57" s="15" t="s">
        <v>392</v>
      </c>
      <c r="B57" s="4" t="s">
        <v>411</v>
      </c>
      <c r="C57" s="4" t="s">
        <v>130</v>
      </c>
      <c r="D57" s="4" t="s">
        <v>83</v>
      </c>
      <c r="E57" s="10" t="s">
        <v>412</v>
      </c>
    </row>
  </sheetData>
  <mergeCells count="18">
    <mergeCell ref="A24:J24"/>
    <mergeCell ref="K3:K4"/>
    <mergeCell ref="L3:L4"/>
    <mergeCell ref="M3:M4"/>
    <mergeCell ref="A5:J5"/>
    <mergeCell ref="A8:J8"/>
    <mergeCell ref="A12:J12"/>
    <mergeCell ref="A15:J15"/>
    <mergeCell ref="A18:J18"/>
    <mergeCell ref="A21:J21"/>
    <mergeCell ref="A1:M2"/>
    <mergeCell ref="A3:A4"/>
    <mergeCell ref="B3:B4"/>
    <mergeCell ref="C3:C4"/>
    <mergeCell ref="D3:D4"/>
    <mergeCell ref="E3:E4"/>
    <mergeCell ref="F3:F4"/>
    <mergeCell ref="G3:J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E18" sqref="E18"/>
    </sheetView>
  </sheetViews>
  <sheetFormatPr defaultRowHeight="12.75" x14ac:dyDescent="0.2"/>
  <cols>
    <col min="1" max="1" width="26" style="4" bestFit="1" customWidth="1"/>
    <col min="2" max="2" width="26.28515625" style="4" bestFit="1" customWidth="1"/>
    <col min="3" max="3" width="15.5703125" style="4" bestFit="1" customWidth="1"/>
    <col min="4" max="4" width="11.85546875" style="4" bestFit="1" customWidth="1"/>
    <col min="5" max="5" width="22.7109375" style="4" bestFit="1" customWidth="1"/>
    <col min="6" max="6" width="21.85546875" style="4" bestFit="1" customWidth="1"/>
    <col min="7" max="9" width="5.5703125" style="3" customWidth="1"/>
    <col min="10" max="10" width="4.85546875" style="3" customWidth="1"/>
    <col min="11" max="11" width="7.85546875" style="10" bestFit="1" customWidth="1"/>
    <col min="12" max="12" width="8.5703125" style="2" bestFit="1" customWidth="1"/>
    <col min="13" max="13" width="17" style="4" bestFit="1" customWidth="1"/>
    <col min="14" max="16384" width="9.140625" style="3"/>
  </cols>
  <sheetData>
    <row r="1" spans="1:13" s="2" customFormat="1" ht="29.1" customHeight="1" x14ac:dyDescent="0.2">
      <c r="A1" s="39" t="s">
        <v>337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s="2" customFormat="1" ht="62.1" customHeight="1" thickBot="1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4"/>
    </row>
    <row r="3" spans="1:13" s="1" customFormat="1" ht="12.75" customHeight="1" x14ac:dyDescent="0.2">
      <c r="A3" s="45" t="s">
        <v>0</v>
      </c>
      <c r="B3" s="47" t="s">
        <v>6</v>
      </c>
      <c r="C3" s="47" t="s">
        <v>10</v>
      </c>
      <c r="D3" s="49" t="s">
        <v>11</v>
      </c>
      <c r="E3" s="49" t="s">
        <v>4</v>
      </c>
      <c r="F3" s="49" t="s">
        <v>7</v>
      </c>
      <c r="G3" s="49" t="s">
        <v>13</v>
      </c>
      <c r="H3" s="49"/>
      <c r="I3" s="49"/>
      <c r="J3" s="49"/>
      <c r="K3" s="49" t="s">
        <v>201</v>
      </c>
      <c r="L3" s="49" t="s">
        <v>3</v>
      </c>
      <c r="M3" s="50" t="s">
        <v>2</v>
      </c>
    </row>
    <row r="4" spans="1:13" s="1" customFormat="1" ht="21" customHeight="1" thickBot="1" x14ac:dyDescent="0.25">
      <c r="A4" s="46"/>
      <c r="B4" s="48"/>
      <c r="C4" s="48"/>
      <c r="D4" s="48"/>
      <c r="E4" s="48"/>
      <c r="F4" s="48"/>
      <c r="G4" s="5">
        <v>1</v>
      </c>
      <c r="H4" s="5">
        <v>2</v>
      </c>
      <c r="I4" s="5">
        <v>3</v>
      </c>
      <c r="J4" s="5" t="s">
        <v>5</v>
      </c>
      <c r="K4" s="48"/>
      <c r="L4" s="48"/>
      <c r="M4" s="51"/>
    </row>
    <row r="5" spans="1:13" ht="15" x14ac:dyDescent="0.2">
      <c r="A5" s="52" t="s">
        <v>107</v>
      </c>
      <c r="B5" s="53"/>
      <c r="C5" s="53"/>
      <c r="D5" s="53"/>
      <c r="E5" s="53"/>
      <c r="F5" s="53"/>
      <c r="G5" s="53"/>
      <c r="H5" s="53"/>
      <c r="I5" s="53"/>
      <c r="J5" s="53"/>
    </row>
    <row r="6" spans="1:13" x14ac:dyDescent="0.2">
      <c r="A6" s="19" t="s">
        <v>339</v>
      </c>
      <c r="B6" s="19" t="s">
        <v>340</v>
      </c>
      <c r="C6" s="19" t="s">
        <v>206</v>
      </c>
      <c r="D6" s="19" t="str">
        <f>"0,5540"</f>
        <v>0,5540</v>
      </c>
      <c r="E6" s="19" t="s">
        <v>341</v>
      </c>
      <c r="F6" s="19" t="s">
        <v>21</v>
      </c>
      <c r="G6" s="20" t="s">
        <v>342</v>
      </c>
      <c r="H6" s="20" t="s">
        <v>343</v>
      </c>
      <c r="I6" s="21" t="s">
        <v>344</v>
      </c>
      <c r="J6" s="21"/>
      <c r="K6" s="28" t="str">
        <f>"270,0"</f>
        <v>270,0</v>
      </c>
      <c r="L6" s="29" t="str">
        <f>"149,5800"</f>
        <v>149,5800</v>
      </c>
      <c r="M6" s="19" t="s">
        <v>345</v>
      </c>
    </row>
    <row r="7" spans="1:13" x14ac:dyDescent="0.2">
      <c r="A7" s="25" t="s">
        <v>347</v>
      </c>
      <c r="B7" s="25" t="s">
        <v>348</v>
      </c>
      <c r="C7" s="25" t="s">
        <v>206</v>
      </c>
      <c r="D7" s="25" t="str">
        <f>"0,5540"</f>
        <v>0,5540</v>
      </c>
      <c r="E7" s="25" t="s">
        <v>341</v>
      </c>
      <c r="F7" s="25" t="s">
        <v>21</v>
      </c>
      <c r="G7" s="26" t="s">
        <v>83</v>
      </c>
      <c r="H7" s="26" t="s">
        <v>292</v>
      </c>
      <c r="I7" s="26" t="s">
        <v>84</v>
      </c>
      <c r="J7" s="27"/>
      <c r="K7" s="32" t="str">
        <f>"190,0"</f>
        <v>190,0</v>
      </c>
      <c r="L7" s="33" t="str">
        <f>"105,2600"</f>
        <v>105,2600</v>
      </c>
      <c r="M7" s="25" t="s">
        <v>91</v>
      </c>
    </row>
    <row r="9" spans="1:13" ht="15" x14ac:dyDescent="0.2">
      <c r="A9" s="54" t="s">
        <v>349</v>
      </c>
      <c r="B9" s="54"/>
      <c r="C9" s="54"/>
      <c r="D9" s="54"/>
      <c r="E9" s="54"/>
      <c r="F9" s="54"/>
      <c r="G9" s="54"/>
      <c r="H9" s="54"/>
      <c r="I9" s="54"/>
      <c r="J9" s="54"/>
    </row>
    <row r="10" spans="1:13" x14ac:dyDescent="0.2">
      <c r="A10" s="19" t="s">
        <v>351</v>
      </c>
      <c r="B10" s="19" t="s">
        <v>352</v>
      </c>
      <c r="C10" s="19" t="s">
        <v>353</v>
      </c>
      <c r="D10" s="19" t="str">
        <f>"0,5130"</f>
        <v>0,5130</v>
      </c>
      <c r="E10" s="19" t="s">
        <v>341</v>
      </c>
      <c r="F10" s="19" t="s">
        <v>21</v>
      </c>
      <c r="G10" s="20" t="s">
        <v>354</v>
      </c>
      <c r="H10" s="20" t="s">
        <v>355</v>
      </c>
      <c r="I10" s="20" t="s">
        <v>356</v>
      </c>
      <c r="J10" s="21"/>
      <c r="K10" s="28" t="str">
        <f>"325,0"</f>
        <v>325,0</v>
      </c>
      <c r="L10" s="29" t="str">
        <f>"166,7120"</f>
        <v>166,7120</v>
      </c>
      <c r="M10" s="19" t="s">
        <v>345</v>
      </c>
    </row>
    <row r="11" spans="1:13" x14ac:dyDescent="0.2">
      <c r="A11" s="25" t="s">
        <v>358</v>
      </c>
      <c r="B11" s="25" t="s">
        <v>359</v>
      </c>
      <c r="C11" s="25" t="s">
        <v>360</v>
      </c>
      <c r="D11" s="25" t="str">
        <f>"0,5162"</f>
        <v>0,5162</v>
      </c>
      <c r="E11" s="25" t="s">
        <v>50</v>
      </c>
      <c r="F11" s="25" t="s">
        <v>21</v>
      </c>
      <c r="G11" s="27" t="s">
        <v>355</v>
      </c>
      <c r="H11" s="27" t="s">
        <v>361</v>
      </c>
      <c r="I11" s="26" t="s">
        <v>361</v>
      </c>
      <c r="J11" s="27"/>
      <c r="K11" s="32" t="str">
        <f>"315,0"</f>
        <v>315,0</v>
      </c>
      <c r="L11" s="33" t="str">
        <f>"162,6030"</f>
        <v>162,6030</v>
      </c>
      <c r="M11" s="25" t="s">
        <v>91</v>
      </c>
    </row>
    <row r="13" spans="1:13" ht="15" x14ac:dyDescent="0.2">
      <c r="E13" s="9" t="s">
        <v>28</v>
      </c>
      <c r="F13" s="34" t="s">
        <v>520</v>
      </c>
    </row>
    <row r="14" spans="1:13" ht="15" x14ac:dyDescent="0.2">
      <c r="E14" s="9" t="s">
        <v>29</v>
      </c>
      <c r="F14" s="34" t="s">
        <v>523</v>
      </c>
    </row>
    <row r="15" spans="1:13" ht="15" x14ac:dyDescent="0.2">
      <c r="E15" s="9" t="s">
        <v>30</v>
      </c>
      <c r="F15" s="34" t="s">
        <v>521</v>
      </c>
    </row>
    <row r="16" spans="1:13" ht="15" x14ac:dyDescent="0.2">
      <c r="E16" s="9" t="s">
        <v>31</v>
      </c>
      <c r="F16" s="34" t="s">
        <v>524</v>
      </c>
    </row>
    <row r="17" spans="1:6" ht="15" x14ac:dyDescent="0.2">
      <c r="E17" s="9" t="s">
        <v>31</v>
      </c>
      <c r="F17" s="34" t="s">
        <v>522</v>
      </c>
    </row>
    <row r="18" spans="1:6" ht="15" x14ac:dyDescent="0.2">
      <c r="E18" s="9"/>
    </row>
    <row r="19" spans="1:6" ht="15" x14ac:dyDescent="0.2">
      <c r="E19" s="9"/>
    </row>
    <row r="21" spans="1:6" ht="18" x14ac:dyDescent="0.25">
      <c r="A21" s="13" t="s">
        <v>32</v>
      </c>
      <c r="B21" s="13"/>
    </row>
    <row r="22" spans="1:6" ht="15" x14ac:dyDescent="0.2">
      <c r="A22" s="14" t="s">
        <v>120</v>
      </c>
      <c r="B22" s="14"/>
    </row>
    <row r="23" spans="1:6" ht="14.25" x14ac:dyDescent="0.2">
      <c r="A23" s="16"/>
      <c r="B23" s="17" t="s">
        <v>113</v>
      </c>
    </row>
    <row r="24" spans="1:6" ht="15" x14ac:dyDescent="0.2">
      <c r="A24" s="18" t="s">
        <v>35</v>
      </c>
      <c r="B24" s="18" t="s">
        <v>36</v>
      </c>
      <c r="C24" s="18" t="s">
        <v>37</v>
      </c>
      <c r="D24" s="18" t="s">
        <v>193</v>
      </c>
      <c r="E24" s="18" t="s">
        <v>39</v>
      </c>
    </row>
    <row r="25" spans="1:6" x14ac:dyDescent="0.2">
      <c r="A25" s="15" t="s">
        <v>350</v>
      </c>
      <c r="B25" s="4" t="s">
        <v>113</v>
      </c>
      <c r="C25" s="4" t="s">
        <v>362</v>
      </c>
      <c r="D25" s="4" t="s">
        <v>356</v>
      </c>
      <c r="E25" s="10" t="s">
        <v>363</v>
      </c>
    </row>
    <row r="26" spans="1:6" x14ac:dyDescent="0.2">
      <c r="A26" s="15" t="s">
        <v>357</v>
      </c>
      <c r="B26" s="4" t="s">
        <v>113</v>
      </c>
      <c r="C26" s="4" t="s">
        <v>362</v>
      </c>
      <c r="D26" s="4" t="s">
        <v>361</v>
      </c>
      <c r="E26" s="10" t="s">
        <v>364</v>
      </c>
    </row>
    <row r="27" spans="1:6" x14ac:dyDescent="0.2">
      <c r="A27" s="15" t="s">
        <v>338</v>
      </c>
      <c r="B27" s="4" t="s">
        <v>113</v>
      </c>
      <c r="C27" s="4" t="s">
        <v>123</v>
      </c>
      <c r="D27" s="4" t="s">
        <v>343</v>
      </c>
      <c r="E27" s="10" t="s">
        <v>365</v>
      </c>
    </row>
    <row r="28" spans="1:6" x14ac:dyDescent="0.2">
      <c r="A28" s="15" t="s">
        <v>346</v>
      </c>
      <c r="B28" s="4" t="s">
        <v>113</v>
      </c>
      <c r="C28" s="4" t="s">
        <v>123</v>
      </c>
      <c r="D28" s="4" t="s">
        <v>84</v>
      </c>
      <c r="E28" s="10" t="s">
        <v>366</v>
      </c>
    </row>
  </sheetData>
  <mergeCells count="13">
    <mergeCell ref="A9:J9"/>
    <mergeCell ref="K3:K4"/>
    <mergeCell ref="L3:L4"/>
    <mergeCell ref="M3:M4"/>
    <mergeCell ref="A5:J5"/>
    <mergeCell ref="A1:M2"/>
    <mergeCell ref="A3:A4"/>
    <mergeCell ref="B3:B4"/>
    <mergeCell ref="C3:C4"/>
    <mergeCell ref="D3:D4"/>
    <mergeCell ref="E3:E4"/>
    <mergeCell ref="F3:F4"/>
    <mergeCell ref="G3:J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F13" sqref="F13"/>
    </sheetView>
  </sheetViews>
  <sheetFormatPr defaultRowHeight="12.75" x14ac:dyDescent="0.2"/>
  <cols>
    <col min="1" max="1" width="26" style="4" bestFit="1" customWidth="1"/>
    <col min="2" max="2" width="26.28515625" style="4" bestFit="1" customWidth="1"/>
    <col min="3" max="3" width="15.5703125" style="4" bestFit="1" customWidth="1"/>
    <col min="4" max="4" width="6.5703125" style="4" bestFit="1" customWidth="1"/>
    <col min="5" max="5" width="22.7109375" style="4" bestFit="1" customWidth="1"/>
    <col min="6" max="6" width="23.85546875" style="4" customWidth="1"/>
    <col min="7" max="7" width="7.7109375" style="3" customWidth="1"/>
    <col min="8" max="8" width="5.42578125" style="3" customWidth="1"/>
    <col min="9" max="9" width="5.5703125" style="3" customWidth="1"/>
    <col min="10" max="10" width="4.85546875" style="3" customWidth="1"/>
    <col min="11" max="11" width="12.5703125" style="10" customWidth="1"/>
    <col min="12" max="12" width="11.85546875" style="2" customWidth="1"/>
    <col min="13" max="13" width="8.85546875" style="4" bestFit="1" customWidth="1"/>
    <col min="14" max="16384" width="9.140625" style="3"/>
  </cols>
  <sheetData>
    <row r="1" spans="1:13" s="2" customFormat="1" ht="29.1" customHeight="1" x14ac:dyDescent="0.2">
      <c r="A1" s="39" t="s">
        <v>525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s="2" customFormat="1" ht="62.1" customHeight="1" thickBot="1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4"/>
    </row>
    <row r="3" spans="1:13" s="1" customFormat="1" ht="12.75" customHeight="1" x14ac:dyDescent="0.2">
      <c r="A3" s="45" t="s">
        <v>0</v>
      </c>
      <c r="B3" s="47" t="s">
        <v>6</v>
      </c>
      <c r="C3" s="47" t="s">
        <v>10</v>
      </c>
      <c r="D3" s="49"/>
      <c r="E3" s="49" t="s">
        <v>4</v>
      </c>
      <c r="F3" s="49" t="s">
        <v>7</v>
      </c>
      <c r="G3" s="49"/>
      <c r="H3" s="49"/>
      <c r="I3" s="49"/>
      <c r="J3" s="49"/>
      <c r="K3" s="49" t="s">
        <v>201</v>
      </c>
      <c r="L3" s="49" t="s">
        <v>3</v>
      </c>
      <c r="M3" s="50" t="s">
        <v>2</v>
      </c>
    </row>
    <row r="4" spans="1:13" s="1" customFormat="1" ht="21" customHeight="1" thickBot="1" x14ac:dyDescent="0.25">
      <c r="A4" s="46"/>
      <c r="B4" s="48"/>
      <c r="C4" s="48"/>
      <c r="D4" s="48"/>
      <c r="E4" s="48"/>
      <c r="F4" s="48"/>
      <c r="G4" s="5">
        <v>1</v>
      </c>
      <c r="H4" s="5">
        <v>2</v>
      </c>
      <c r="I4" s="5">
        <v>3</v>
      </c>
      <c r="J4" s="5" t="s">
        <v>5</v>
      </c>
      <c r="K4" s="48"/>
      <c r="L4" s="48"/>
      <c r="M4" s="51"/>
    </row>
    <row r="5" spans="1:13" ht="15" x14ac:dyDescent="0.2">
      <c r="A5" s="54" t="s">
        <v>287</v>
      </c>
      <c r="B5" s="54"/>
      <c r="C5" s="54"/>
      <c r="D5" s="54"/>
      <c r="E5" s="54"/>
      <c r="F5" s="54"/>
      <c r="G5" s="54"/>
      <c r="H5" s="54"/>
      <c r="I5" s="54"/>
      <c r="J5" s="54"/>
    </row>
    <row r="6" spans="1:13" x14ac:dyDescent="0.2">
      <c r="A6" s="35" t="s">
        <v>387</v>
      </c>
      <c r="B6" s="6" t="s">
        <v>388</v>
      </c>
      <c r="C6" s="6" t="s">
        <v>389</v>
      </c>
      <c r="D6" s="6" t="str">
        <f>"0,6341"</f>
        <v>0,6341</v>
      </c>
      <c r="E6" s="6" t="s">
        <v>390</v>
      </c>
      <c r="F6" s="6" t="s">
        <v>51</v>
      </c>
      <c r="G6" s="37" t="s">
        <v>527</v>
      </c>
      <c r="H6" s="37" t="s">
        <v>528</v>
      </c>
      <c r="I6" s="37" t="s">
        <v>529</v>
      </c>
      <c r="J6" s="21"/>
      <c r="K6" s="28" t="s">
        <v>529</v>
      </c>
      <c r="L6" s="29"/>
      <c r="M6" s="19" t="s">
        <v>210</v>
      </c>
    </row>
    <row r="7" spans="1:13" x14ac:dyDescent="0.2">
      <c r="A7" s="36" t="s">
        <v>397</v>
      </c>
      <c r="B7" s="6" t="s">
        <v>398</v>
      </c>
      <c r="C7" s="6" t="s">
        <v>399</v>
      </c>
      <c r="D7" s="6" t="str">
        <f>"0,5548"</f>
        <v>0,5548</v>
      </c>
      <c r="E7" s="6" t="s">
        <v>390</v>
      </c>
      <c r="F7" s="6" t="s">
        <v>21</v>
      </c>
      <c r="G7" s="38" t="s">
        <v>527</v>
      </c>
      <c r="H7" s="38" t="s">
        <v>528</v>
      </c>
      <c r="I7" s="38" t="s">
        <v>529</v>
      </c>
      <c r="J7" s="27"/>
      <c r="K7" s="32" t="s">
        <v>529</v>
      </c>
      <c r="L7" s="33"/>
      <c r="M7" s="25" t="s">
        <v>210</v>
      </c>
    </row>
    <row r="8" spans="1:13" ht="15" x14ac:dyDescent="0.2">
      <c r="E8" s="9"/>
    </row>
    <row r="9" spans="1:13" ht="15" x14ac:dyDescent="0.2">
      <c r="E9" s="9" t="s">
        <v>28</v>
      </c>
      <c r="F9" s="34" t="s">
        <v>520</v>
      </c>
    </row>
    <row r="10" spans="1:13" ht="15" x14ac:dyDescent="0.2">
      <c r="E10" s="9" t="s">
        <v>29</v>
      </c>
      <c r="F10" s="34" t="s">
        <v>523</v>
      </c>
    </row>
    <row r="11" spans="1:13" ht="15" x14ac:dyDescent="0.2">
      <c r="E11" s="9" t="s">
        <v>30</v>
      </c>
      <c r="F11" s="34" t="s">
        <v>521</v>
      </c>
    </row>
    <row r="12" spans="1:13" ht="15" x14ac:dyDescent="0.2">
      <c r="E12" s="9" t="s">
        <v>31</v>
      </c>
      <c r="F12" s="34" t="s">
        <v>524</v>
      </c>
    </row>
    <row r="13" spans="1:13" ht="15" x14ac:dyDescent="0.2">
      <c r="E13" s="9" t="s">
        <v>31</v>
      </c>
      <c r="F13" s="34" t="s">
        <v>522</v>
      </c>
    </row>
    <row r="14" spans="1:13" ht="18" x14ac:dyDescent="0.25">
      <c r="A14" s="13"/>
      <c r="B14" s="13"/>
    </row>
  </sheetData>
  <mergeCells count="12">
    <mergeCell ref="K3:K4"/>
    <mergeCell ref="L3:L4"/>
    <mergeCell ref="M3:M4"/>
    <mergeCell ref="A5:J5"/>
    <mergeCell ref="A1:M2"/>
    <mergeCell ref="A3:A4"/>
    <mergeCell ref="B3:B4"/>
    <mergeCell ref="C3:C4"/>
    <mergeCell ref="D3:D4"/>
    <mergeCell ref="E3:E4"/>
    <mergeCell ref="F3:F4"/>
    <mergeCell ref="G3:J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F15" sqref="F15"/>
    </sheetView>
  </sheetViews>
  <sheetFormatPr defaultRowHeight="12.75" x14ac:dyDescent="0.2"/>
  <cols>
    <col min="1" max="1" width="26" style="4" bestFit="1" customWidth="1"/>
    <col min="2" max="2" width="26.28515625" style="4" bestFit="1" customWidth="1"/>
    <col min="3" max="3" width="15.5703125" style="4" bestFit="1" customWidth="1"/>
    <col min="4" max="4" width="11.85546875" style="4" bestFit="1" customWidth="1"/>
    <col min="5" max="5" width="22.7109375" style="4" bestFit="1" customWidth="1"/>
    <col min="6" max="6" width="24.7109375" style="4" bestFit="1" customWidth="1"/>
    <col min="7" max="9" width="5.5703125" style="3" customWidth="1"/>
    <col min="10" max="10" width="4.85546875" style="3" customWidth="1"/>
    <col min="11" max="11" width="7.85546875" style="10" bestFit="1" customWidth="1"/>
    <col min="12" max="12" width="7.5703125" style="2" bestFit="1" customWidth="1"/>
    <col min="13" max="13" width="17.85546875" style="4" bestFit="1" customWidth="1"/>
    <col min="14" max="16384" width="9.140625" style="3"/>
  </cols>
  <sheetData>
    <row r="1" spans="1:13" s="2" customFormat="1" ht="29.1" customHeight="1" x14ac:dyDescent="0.2">
      <c r="A1" s="39" t="s">
        <v>325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s="2" customFormat="1" ht="62.1" customHeight="1" thickBot="1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4"/>
    </row>
    <row r="3" spans="1:13" s="1" customFormat="1" ht="12.75" customHeight="1" x14ac:dyDescent="0.2">
      <c r="A3" s="45" t="s">
        <v>0</v>
      </c>
      <c r="B3" s="47" t="s">
        <v>6</v>
      </c>
      <c r="C3" s="47" t="s">
        <v>10</v>
      </c>
      <c r="D3" s="49" t="s">
        <v>11</v>
      </c>
      <c r="E3" s="49" t="s">
        <v>4</v>
      </c>
      <c r="F3" s="49" t="s">
        <v>7</v>
      </c>
      <c r="G3" s="49" t="s">
        <v>13</v>
      </c>
      <c r="H3" s="49"/>
      <c r="I3" s="49"/>
      <c r="J3" s="49"/>
      <c r="K3" s="49" t="s">
        <v>201</v>
      </c>
      <c r="L3" s="49" t="s">
        <v>3</v>
      </c>
      <c r="M3" s="50" t="s">
        <v>2</v>
      </c>
    </row>
    <row r="4" spans="1:13" s="1" customFormat="1" ht="21" customHeight="1" thickBot="1" x14ac:dyDescent="0.25">
      <c r="A4" s="46"/>
      <c r="B4" s="48"/>
      <c r="C4" s="48"/>
      <c r="D4" s="48"/>
      <c r="E4" s="48"/>
      <c r="F4" s="48"/>
      <c r="G4" s="5">
        <v>1</v>
      </c>
      <c r="H4" s="5">
        <v>2</v>
      </c>
      <c r="I4" s="5">
        <v>3</v>
      </c>
      <c r="J4" s="5" t="s">
        <v>5</v>
      </c>
      <c r="K4" s="48"/>
      <c r="L4" s="48"/>
      <c r="M4" s="51"/>
    </row>
    <row r="5" spans="1:13" ht="15" x14ac:dyDescent="0.2">
      <c r="A5" s="52" t="s">
        <v>287</v>
      </c>
      <c r="B5" s="53"/>
      <c r="C5" s="53"/>
      <c r="D5" s="53"/>
      <c r="E5" s="53"/>
      <c r="F5" s="53"/>
      <c r="G5" s="53"/>
      <c r="H5" s="53"/>
      <c r="I5" s="53"/>
      <c r="J5" s="53"/>
    </row>
    <row r="6" spans="1:13" x14ac:dyDescent="0.2">
      <c r="A6" s="19" t="s">
        <v>327</v>
      </c>
      <c r="B6" s="19" t="s">
        <v>328</v>
      </c>
      <c r="C6" s="19" t="s">
        <v>329</v>
      </c>
      <c r="D6" s="19" t="str">
        <f>"0,5463"</f>
        <v>0,5463</v>
      </c>
      <c r="E6" s="19" t="s">
        <v>20</v>
      </c>
      <c r="F6" s="19" t="s">
        <v>21</v>
      </c>
      <c r="G6" s="20" t="s">
        <v>85</v>
      </c>
      <c r="H6" s="20" t="s">
        <v>86</v>
      </c>
      <c r="I6" s="20" t="s">
        <v>106</v>
      </c>
      <c r="J6" s="21"/>
      <c r="K6" s="28" t="str">
        <f>"170,0"</f>
        <v>170,0</v>
      </c>
      <c r="L6" s="29" t="str">
        <f>"92,8710"</f>
        <v>92,8710</v>
      </c>
      <c r="M6" s="19" t="s">
        <v>27</v>
      </c>
    </row>
    <row r="7" spans="1:13" x14ac:dyDescent="0.2">
      <c r="A7" s="25" t="s">
        <v>331</v>
      </c>
      <c r="B7" s="25" t="s">
        <v>332</v>
      </c>
      <c r="C7" s="25" t="s">
        <v>333</v>
      </c>
      <c r="D7" s="25" t="str">
        <f>"0,5407"</f>
        <v>0,5407</v>
      </c>
      <c r="E7" s="25" t="s">
        <v>50</v>
      </c>
      <c r="F7" s="25" t="s">
        <v>51</v>
      </c>
      <c r="G7" s="26" t="s">
        <v>334</v>
      </c>
      <c r="H7" s="26" t="s">
        <v>150</v>
      </c>
      <c r="I7" s="26" t="s">
        <v>151</v>
      </c>
      <c r="J7" s="27"/>
      <c r="K7" s="32" t="str">
        <f>"140,0"</f>
        <v>140,0</v>
      </c>
      <c r="L7" s="33" t="str">
        <f>"75,6980"</f>
        <v>75,6980</v>
      </c>
      <c r="M7" s="25" t="s">
        <v>58</v>
      </c>
    </row>
    <row r="9" spans="1:13" ht="15" x14ac:dyDescent="0.2">
      <c r="E9" s="9" t="s">
        <v>28</v>
      </c>
      <c r="F9" s="34" t="s">
        <v>520</v>
      </c>
    </row>
    <row r="10" spans="1:13" ht="15" x14ac:dyDescent="0.2">
      <c r="E10" s="9" t="s">
        <v>29</v>
      </c>
      <c r="F10" s="34" t="s">
        <v>523</v>
      </c>
    </row>
    <row r="11" spans="1:13" ht="15" x14ac:dyDescent="0.2">
      <c r="E11" s="9" t="s">
        <v>30</v>
      </c>
      <c r="F11" s="34" t="s">
        <v>521</v>
      </c>
    </row>
    <row r="12" spans="1:13" ht="15" x14ac:dyDescent="0.2">
      <c r="E12" s="9" t="s">
        <v>31</v>
      </c>
      <c r="F12" s="34" t="s">
        <v>524</v>
      </c>
    </row>
    <row r="13" spans="1:13" ht="15" x14ac:dyDescent="0.2">
      <c r="E13" s="9" t="s">
        <v>31</v>
      </c>
      <c r="F13" s="34" t="s">
        <v>522</v>
      </c>
    </row>
    <row r="14" spans="1:13" ht="15" x14ac:dyDescent="0.2">
      <c r="E14" s="9"/>
    </row>
    <row r="15" spans="1:13" ht="15" x14ac:dyDescent="0.2">
      <c r="E15" s="9"/>
    </row>
    <row r="17" spans="1:5" ht="18" x14ac:dyDescent="0.25">
      <c r="A17" s="13" t="s">
        <v>32</v>
      </c>
      <c r="B17" s="13"/>
    </row>
    <row r="18" spans="1:5" ht="15" x14ac:dyDescent="0.2">
      <c r="A18" s="14" t="s">
        <v>120</v>
      </c>
      <c r="B18" s="14"/>
    </row>
    <row r="19" spans="1:5" ht="14.25" x14ac:dyDescent="0.2">
      <c r="A19" s="16"/>
      <c r="B19" s="17" t="s">
        <v>113</v>
      </c>
    </row>
    <row r="20" spans="1:5" ht="15" x14ac:dyDescent="0.2">
      <c r="A20" s="18" t="s">
        <v>35</v>
      </c>
      <c r="B20" s="18" t="s">
        <v>36</v>
      </c>
      <c r="C20" s="18" t="s">
        <v>37</v>
      </c>
      <c r="D20" s="18" t="s">
        <v>193</v>
      </c>
      <c r="E20" s="18" t="s">
        <v>39</v>
      </c>
    </row>
    <row r="21" spans="1:5" x14ac:dyDescent="0.2">
      <c r="A21" s="15" t="s">
        <v>326</v>
      </c>
      <c r="B21" s="4" t="s">
        <v>113</v>
      </c>
      <c r="C21" s="4" t="s">
        <v>311</v>
      </c>
      <c r="D21" s="4" t="s">
        <v>106</v>
      </c>
      <c r="E21" s="10" t="s">
        <v>335</v>
      </c>
    </row>
    <row r="22" spans="1:5" x14ac:dyDescent="0.2">
      <c r="A22" s="15" t="s">
        <v>330</v>
      </c>
      <c r="B22" s="4" t="s">
        <v>113</v>
      </c>
      <c r="C22" s="4" t="s">
        <v>311</v>
      </c>
      <c r="D22" s="4" t="s">
        <v>151</v>
      </c>
      <c r="E22" s="10" t="s">
        <v>336</v>
      </c>
    </row>
  </sheetData>
  <mergeCells count="12">
    <mergeCell ref="K3:K4"/>
    <mergeCell ref="L3:L4"/>
    <mergeCell ref="M3:M4"/>
    <mergeCell ref="A5:J5"/>
    <mergeCell ref="A1:M2"/>
    <mergeCell ref="A3:A4"/>
    <mergeCell ref="B3:B4"/>
    <mergeCell ref="C3:C4"/>
    <mergeCell ref="D3:D4"/>
    <mergeCell ref="E3:E4"/>
    <mergeCell ref="F3:F4"/>
    <mergeCell ref="G3:J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topLeftCell="A22" workbookViewId="0">
      <selection activeCell="F51" sqref="F51"/>
    </sheetView>
  </sheetViews>
  <sheetFormatPr defaultRowHeight="12.75" x14ac:dyDescent="0.2"/>
  <cols>
    <col min="1" max="1" width="26" style="4" bestFit="1" customWidth="1"/>
    <col min="2" max="2" width="29" style="4" bestFit="1" customWidth="1"/>
    <col min="3" max="3" width="15.5703125" style="4" bestFit="1" customWidth="1"/>
    <col min="4" max="4" width="11.85546875" style="4" bestFit="1" customWidth="1"/>
    <col min="5" max="5" width="32.28515625" style="4" bestFit="1" customWidth="1"/>
    <col min="6" max="6" width="30.28515625" style="4" bestFit="1" customWidth="1"/>
    <col min="7" max="9" width="5.5703125" style="3" customWidth="1"/>
    <col min="10" max="10" width="4.85546875" style="3" customWidth="1"/>
    <col min="11" max="11" width="7.85546875" style="10" bestFit="1" customWidth="1"/>
    <col min="12" max="12" width="8.5703125" style="2" bestFit="1" customWidth="1"/>
    <col min="13" max="13" width="17.85546875" style="4" bestFit="1" customWidth="1"/>
    <col min="14" max="16384" width="9.140625" style="3"/>
  </cols>
  <sheetData>
    <row r="1" spans="1:13" s="2" customFormat="1" ht="29.1" customHeight="1" x14ac:dyDescent="0.2">
      <c r="A1" s="39" t="s">
        <v>219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s="2" customFormat="1" ht="62.1" customHeight="1" thickBot="1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4"/>
    </row>
    <row r="3" spans="1:13" s="1" customFormat="1" ht="12.75" customHeight="1" x14ac:dyDescent="0.2">
      <c r="A3" s="45" t="s">
        <v>0</v>
      </c>
      <c r="B3" s="47" t="s">
        <v>6</v>
      </c>
      <c r="C3" s="47" t="s">
        <v>10</v>
      </c>
      <c r="D3" s="49" t="s">
        <v>11</v>
      </c>
      <c r="E3" s="49" t="s">
        <v>4</v>
      </c>
      <c r="F3" s="49" t="s">
        <v>7</v>
      </c>
      <c r="G3" s="49" t="s">
        <v>13</v>
      </c>
      <c r="H3" s="49"/>
      <c r="I3" s="49"/>
      <c r="J3" s="49"/>
      <c r="K3" s="49" t="s">
        <v>201</v>
      </c>
      <c r="L3" s="49" t="s">
        <v>3</v>
      </c>
      <c r="M3" s="50" t="s">
        <v>2</v>
      </c>
    </row>
    <row r="4" spans="1:13" s="1" customFormat="1" ht="21" customHeight="1" thickBot="1" x14ac:dyDescent="0.25">
      <c r="A4" s="46"/>
      <c r="B4" s="48"/>
      <c r="C4" s="48"/>
      <c r="D4" s="48"/>
      <c r="E4" s="48"/>
      <c r="F4" s="48"/>
      <c r="G4" s="5">
        <v>1</v>
      </c>
      <c r="H4" s="5">
        <v>2</v>
      </c>
      <c r="I4" s="5">
        <v>3</v>
      </c>
      <c r="J4" s="5" t="s">
        <v>5</v>
      </c>
      <c r="K4" s="48"/>
      <c r="L4" s="48"/>
      <c r="M4" s="51"/>
    </row>
    <row r="5" spans="1:13" ht="15" x14ac:dyDescent="0.2">
      <c r="A5" s="52" t="s">
        <v>220</v>
      </c>
      <c r="B5" s="53"/>
      <c r="C5" s="53"/>
      <c r="D5" s="53"/>
      <c r="E5" s="53"/>
      <c r="F5" s="53"/>
      <c r="G5" s="53"/>
      <c r="H5" s="53"/>
      <c r="I5" s="53"/>
      <c r="J5" s="53"/>
    </row>
    <row r="6" spans="1:13" x14ac:dyDescent="0.2">
      <c r="A6" s="6" t="s">
        <v>222</v>
      </c>
      <c r="B6" s="6" t="s">
        <v>223</v>
      </c>
      <c r="C6" s="6" t="s">
        <v>224</v>
      </c>
      <c r="D6" s="6" t="str">
        <f>"1,0345"</f>
        <v>1,0345</v>
      </c>
      <c r="E6" s="6" t="s">
        <v>225</v>
      </c>
      <c r="F6" s="6" t="s">
        <v>21</v>
      </c>
      <c r="G6" s="8" t="s">
        <v>55</v>
      </c>
      <c r="H6" s="8" t="s">
        <v>56</v>
      </c>
      <c r="I6" s="7" t="s">
        <v>226</v>
      </c>
      <c r="J6" s="7"/>
      <c r="K6" s="11" t="str">
        <f>"60,0"</f>
        <v>60,0</v>
      </c>
      <c r="L6" s="12" t="str">
        <f>"62,6877"</f>
        <v>62,6877</v>
      </c>
      <c r="M6" s="6" t="s">
        <v>227</v>
      </c>
    </row>
    <row r="8" spans="1:13" ht="15" x14ac:dyDescent="0.2">
      <c r="A8" s="54" t="s">
        <v>45</v>
      </c>
      <c r="B8" s="54"/>
      <c r="C8" s="54"/>
      <c r="D8" s="54"/>
      <c r="E8" s="54"/>
      <c r="F8" s="54"/>
      <c r="G8" s="54"/>
      <c r="H8" s="54"/>
      <c r="I8" s="54"/>
      <c r="J8" s="54"/>
    </row>
    <row r="9" spans="1:13" x14ac:dyDescent="0.2">
      <c r="A9" s="6" t="s">
        <v>229</v>
      </c>
      <c r="B9" s="6" t="s">
        <v>230</v>
      </c>
      <c r="C9" s="6" t="s">
        <v>231</v>
      </c>
      <c r="D9" s="6" t="str">
        <f>"0,9291"</f>
        <v>0,9291</v>
      </c>
      <c r="E9" s="6" t="s">
        <v>20</v>
      </c>
      <c r="F9" s="6" t="s">
        <v>21</v>
      </c>
      <c r="G9" s="8" t="s">
        <v>55</v>
      </c>
      <c r="H9" s="8" t="s">
        <v>24</v>
      </c>
      <c r="I9" s="8" t="s">
        <v>226</v>
      </c>
      <c r="J9" s="7"/>
      <c r="K9" s="11" t="str">
        <f>"62,5"</f>
        <v>62,5</v>
      </c>
      <c r="L9" s="12" t="str">
        <f>"111,4920"</f>
        <v>111,4920</v>
      </c>
      <c r="M9" s="6" t="s">
        <v>91</v>
      </c>
    </row>
    <row r="11" spans="1:13" ht="15" x14ac:dyDescent="0.2">
      <c r="A11" s="54" t="s">
        <v>15</v>
      </c>
      <c r="B11" s="54"/>
      <c r="C11" s="54"/>
      <c r="D11" s="54"/>
      <c r="E11" s="54"/>
      <c r="F11" s="54"/>
      <c r="G11" s="54"/>
      <c r="H11" s="54"/>
      <c r="I11" s="54"/>
      <c r="J11" s="54"/>
    </row>
    <row r="12" spans="1:13" x14ac:dyDescent="0.2">
      <c r="A12" s="19" t="s">
        <v>233</v>
      </c>
      <c r="B12" s="19" t="s">
        <v>234</v>
      </c>
      <c r="C12" s="19" t="s">
        <v>235</v>
      </c>
      <c r="D12" s="19" t="str">
        <f>"0,8831"</f>
        <v>0,8831</v>
      </c>
      <c r="E12" s="19" t="s">
        <v>207</v>
      </c>
      <c r="F12" s="19" t="s">
        <v>208</v>
      </c>
      <c r="G12" s="20" t="s">
        <v>236</v>
      </c>
      <c r="H12" s="21" t="s">
        <v>237</v>
      </c>
      <c r="I12" s="21" t="s">
        <v>237</v>
      </c>
      <c r="J12" s="21"/>
      <c r="K12" s="28" t="str">
        <f>"40,0"</f>
        <v>40,0</v>
      </c>
      <c r="L12" s="29" t="str">
        <f>"35,3260"</f>
        <v>35,3260</v>
      </c>
      <c r="M12" s="19" t="s">
        <v>210</v>
      </c>
    </row>
    <row r="13" spans="1:13" x14ac:dyDescent="0.2">
      <c r="A13" s="25" t="s">
        <v>17</v>
      </c>
      <c r="B13" s="25" t="s">
        <v>18</v>
      </c>
      <c r="C13" s="25" t="s">
        <v>19</v>
      </c>
      <c r="D13" s="25" t="str">
        <f>"0,8763"</f>
        <v>0,8763</v>
      </c>
      <c r="E13" s="25" t="s">
        <v>20</v>
      </c>
      <c r="F13" s="25" t="s">
        <v>21</v>
      </c>
      <c r="G13" s="26" t="s">
        <v>23</v>
      </c>
      <c r="H13" s="26" t="s">
        <v>24</v>
      </c>
      <c r="I13" s="27" t="s">
        <v>25</v>
      </c>
      <c r="J13" s="27"/>
      <c r="K13" s="32" t="str">
        <f>"57,5"</f>
        <v>57,5</v>
      </c>
      <c r="L13" s="33" t="str">
        <f>"57,6430"</f>
        <v>57,6430</v>
      </c>
      <c r="M13" s="25" t="s">
        <v>27</v>
      </c>
    </row>
    <row r="15" spans="1:13" ht="15" x14ac:dyDescent="0.2">
      <c r="A15" s="54" t="s">
        <v>59</v>
      </c>
      <c r="B15" s="54"/>
      <c r="C15" s="54"/>
      <c r="D15" s="54"/>
      <c r="E15" s="54"/>
      <c r="F15" s="54"/>
      <c r="G15" s="54"/>
      <c r="H15" s="54"/>
      <c r="I15" s="54"/>
      <c r="J15" s="54"/>
    </row>
    <row r="16" spans="1:13" x14ac:dyDescent="0.2">
      <c r="A16" s="19" t="s">
        <v>239</v>
      </c>
      <c r="B16" s="19" t="s">
        <v>240</v>
      </c>
      <c r="C16" s="19" t="s">
        <v>241</v>
      </c>
      <c r="D16" s="19" t="str">
        <f>"0,8079"</f>
        <v>0,8079</v>
      </c>
      <c r="E16" s="19" t="s">
        <v>50</v>
      </c>
      <c r="F16" s="19" t="s">
        <v>51</v>
      </c>
      <c r="G16" s="20" t="s">
        <v>75</v>
      </c>
      <c r="H16" s="20" t="s">
        <v>67</v>
      </c>
      <c r="I16" s="20" t="s">
        <v>52</v>
      </c>
      <c r="J16" s="21"/>
      <c r="K16" s="28" t="str">
        <f>"75,0"</f>
        <v>75,0</v>
      </c>
      <c r="L16" s="29" t="str">
        <f>"60,5888"</f>
        <v>60,5888</v>
      </c>
      <c r="M16" s="19" t="s">
        <v>58</v>
      </c>
    </row>
    <row r="17" spans="1:13" x14ac:dyDescent="0.2">
      <c r="A17" s="25" t="s">
        <v>242</v>
      </c>
      <c r="B17" s="25" t="s">
        <v>62</v>
      </c>
      <c r="C17" s="25" t="s">
        <v>63</v>
      </c>
      <c r="D17" s="25" t="str">
        <f>"0,8100"</f>
        <v>0,8100</v>
      </c>
      <c r="E17" s="25" t="s">
        <v>50</v>
      </c>
      <c r="F17" s="25" t="s">
        <v>51</v>
      </c>
      <c r="G17" s="26" t="s">
        <v>25</v>
      </c>
      <c r="H17" s="27" t="s">
        <v>67</v>
      </c>
      <c r="I17" s="27" t="s">
        <v>67</v>
      </c>
      <c r="J17" s="27"/>
      <c r="K17" s="32" t="str">
        <f>"67,5"</f>
        <v>67,5</v>
      </c>
      <c r="L17" s="33" t="str">
        <f>"54,6750"</f>
        <v>54,6750</v>
      </c>
      <c r="M17" s="25" t="s">
        <v>58</v>
      </c>
    </row>
    <row r="19" spans="1:13" ht="15" x14ac:dyDescent="0.2">
      <c r="A19" s="54" t="s">
        <v>138</v>
      </c>
      <c r="B19" s="54"/>
      <c r="C19" s="54"/>
      <c r="D19" s="54"/>
      <c r="E19" s="54"/>
      <c r="F19" s="54"/>
      <c r="G19" s="54"/>
      <c r="H19" s="54"/>
      <c r="I19" s="54"/>
      <c r="J19" s="54"/>
    </row>
    <row r="20" spans="1:13" x14ac:dyDescent="0.2">
      <c r="A20" s="6" t="s">
        <v>244</v>
      </c>
      <c r="B20" s="6" t="s">
        <v>245</v>
      </c>
      <c r="C20" s="6" t="s">
        <v>246</v>
      </c>
      <c r="D20" s="6" t="str">
        <f>"0,9978"</f>
        <v>0,9978</v>
      </c>
      <c r="E20" s="6" t="s">
        <v>50</v>
      </c>
      <c r="F20" s="6" t="s">
        <v>51</v>
      </c>
      <c r="G20" s="8" t="s">
        <v>247</v>
      </c>
      <c r="H20" s="8" t="s">
        <v>236</v>
      </c>
      <c r="I20" s="8" t="s">
        <v>248</v>
      </c>
      <c r="J20" s="7"/>
      <c r="K20" s="11" t="str">
        <f>"47,5"</f>
        <v>47,5</v>
      </c>
      <c r="L20" s="12" t="str">
        <f>"55,9267"</f>
        <v>55,9267</v>
      </c>
      <c r="M20" s="6" t="s">
        <v>249</v>
      </c>
    </row>
    <row r="22" spans="1:13" ht="15" x14ac:dyDescent="0.2">
      <c r="A22" s="54" t="s">
        <v>165</v>
      </c>
      <c r="B22" s="54"/>
      <c r="C22" s="54"/>
      <c r="D22" s="54"/>
      <c r="E22" s="54"/>
      <c r="F22" s="54"/>
      <c r="G22" s="54"/>
      <c r="H22" s="54"/>
      <c r="I22" s="54"/>
      <c r="J22" s="54"/>
    </row>
    <row r="23" spans="1:13" x14ac:dyDescent="0.2">
      <c r="A23" s="6" t="s">
        <v>167</v>
      </c>
      <c r="B23" s="6" t="s">
        <v>168</v>
      </c>
      <c r="C23" s="6" t="s">
        <v>169</v>
      </c>
      <c r="D23" s="6" t="str">
        <f>"0,6666"</f>
        <v>0,6666</v>
      </c>
      <c r="E23" s="6" t="s">
        <v>170</v>
      </c>
      <c r="F23" s="6" t="s">
        <v>171</v>
      </c>
      <c r="G23" s="8" t="s">
        <v>96</v>
      </c>
      <c r="H23" s="8" t="s">
        <v>151</v>
      </c>
      <c r="I23" s="7" t="s">
        <v>250</v>
      </c>
      <c r="J23" s="7"/>
      <c r="K23" s="11" t="str">
        <f>"140,0"</f>
        <v>140,0</v>
      </c>
      <c r="L23" s="12" t="str">
        <f>"93,3240"</f>
        <v>93,3240</v>
      </c>
      <c r="M23" s="6" t="s">
        <v>91</v>
      </c>
    </row>
    <row r="25" spans="1:13" ht="15" x14ac:dyDescent="0.2">
      <c r="A25" s="54" t="s">
        <v>69</v>
      </c>
      <c r="B25" s="54"/>
      <c r="C25" s="54"/>
      <c r="D25" s="54"/>
      <c r="E25" s="54"/>
      <c r="F25" s="54"/>
      <c r="G25" s="54"/>
      <c r="H25" s="54"/>
      <c r="I25" s="54"/>
      <c r="J25" s="54"/>
    </row>
    <row r="26" spans="1:13" x14ac:dyDescent="0.2">
      <c r="A26" s="19" t="s">
        <v>252</v>
      </c>
      <c r="B26" s="19" t="s">
        <v>253</v>
      </c>
      <c r="C26" s="19" t="s">
        <v>254</v>
      </c>
      <c r="D26" s="19" t="str">
        <f>"0,6238"</f>
        <v>0,6238</v>
      </c>
      <c r="E26" s="19" t="s">
        <v>50</v>
      </c>
      <c r="F26" s="19" t="s">
        <v>51</v>
      </c>
      <c r="G26" s="20" t="s">
        <v>150</v>
      </c>
      <c r="H26" s="20" t="s">
        <v>177</v>
      </c>
      <c r="I26" s="21" t="s">
        <v>255</v>
      </c>
      <c r="J26" s="21"/>
      <c r="K26" s="28" t="str">
        <f>"137,5"</f>
        <v>137,5</v>
      </c>
      <c r="L26" s="29" t="str">
        <f>"85,7725"</f>
        <v>85,7725</v>
      </c>
      <c r="M26" s="19" t="s">
        <v>91</v>
      </c>
    </row>
    <row r="27" spans="1:13" x14ac:dyDescent="0.2">
      <c r="A27" s="25" t="s">
        <v>257</v>
      </c>
      <c r="B27" s="25" t="s">
        <v>258</v>
      </c>
      <c r="C27" s="25" t="s">
        <v>259</v>
      </c>
      <c r="D27" s="25" t="str">
        <f>"0,6367"</f>
        <v>0,6367</v>
      </c>
      <c r="E27" s="25" t="s">
        <v>50</v>
      </c>
      <c r="F27" s="25" t="s">
        <v>51</v>
      </c>
      <c r="G27" s="27" t="s">
        <v>103</v>
      </c>
      <c r="H27" s="26" t="s">
        <v>103</v>
      </c>
      <c r="I27" s="27" t="s">
        <v>104</v>
      </c>
      <c r="J27" s="27"/>
      <c r="K27" s="32" t="str">
        <f>"120,0"</f>
        <v>120,0</v>
      </c>
      <c r="L27" s="33" t="str">
        <f>"76,4040"</f>
        <v>76,4040</v>
      </c>
      <c r="M27" s="25" t="s">
        <v>58</v>
      </c>
    </row>
    <row r="29" spans="1:13" ht="15" x14ac:dyDescent="0.2">
      <c r="A29" s="54" t="s">
        <v>77</v>
      </c>
      <c r="B29" s="54"/>
      <c r="C29" s="54"/>
      <c r="D29" s="54"/>
      <c r="E29" s="54"/>
      <c r="F29" s="54"/>
      <c r="G29" s="54"/>
      <c r="H29" s="54"/>
      <c r="I29" s="54"/>
      <c r="J29" s="54"/>
    </row>
    <row r="30" spans="1:13" x14ac:dyDescent="0.2">
      <c r="A30" s="6" t="s">
        <v>261</v>
      </c>
      <c r="B30" s="6" t="s">
        <v>262</v>
      </c>
      <c r="C30" s="6" t="s">
        <v>263</v>
      </c>
      <c r="D30" s="6" t="str">
        <f>"0,5873"</f>
        <v>0,5873</v>
      </c>
      <c r="E30" s="6" t="s">
        <v>50</v>
      </c>
      <c r="F30" s="6" t="s">
        <v>51</v>
      </c>
      <c r="G30" s="8" t="s">
        <v>96</v>
      </c>
      <c r="H30" s="8" t="s">
        <v>151</v>
      </c>
      <c r="I30" s="7" t="s">
        <v>250</v>
      </c>
      <c r="J30" s="7"/>
      <c r="K30" s="11" t="str">
        <f>"140,0"</f>
        <v>140,0</v>
      </c>
      <c r="L30" s="12" t="str">
        <f>"82,2220"</f>
        <v>82,2220</v>
      </c>
      <c r="M30" s="6" t="s">
        <v>58</v>
      </c>
    </row>
    <row r="32" spans="1:13" ht="15" x14ac:dyDescent="0.2">
      <c r="A32" s="54" t="s">
        <v>107</v>
      </c>
      <c r="B32" s="54"/>
      <c r="C32" s="54"/>
      <c r="D32" s="54"/>
      <c r="E32" s="54"/>
      <c r="F32" s="54"/>
      <c r="G32" s="54"/>
      <c r="H32" s="54"/>
      <c r="I32" s="54"/>
      <c r="J32" s="54"/>
    </row>
    <row r="33" spans="1:13" x14ac:dyDescent="0.2">
      <c r="A33" s="19" t="s">
        <v>180</v>
      </c>
      <c r="B33" s="19" t="s">
        <v>181</v>
      </c>
      <c r="C33" s="19" t="s">
        <v>182</v>
      </c>
      <c r="D33" s="19" t="str">
        <f>"0,5723"</f>
        <v>0,5723</v>
      </c>
      <c r="E33" s="19" t="s">
        <v>183</v>
      </c>
      <c r="F33" s="19" t="s">
        <v>184</v>
      </c>
      <c r="G33" s="20" t="s">
        <v>264</v>
      </c>
      <c r="H33" s="20" t="s">
        <v>209</v>
      </c>
      <c r="I33" s="21"/>
      <c r="J33" s="21"/>
      <c r="K33" s="28" t="str">
        <f>"162,5"</f>
        <v>162,5</v>
      </c>
      <c r="L33" s="29" t="str">
        <f>"93,9287"</f>
        <v>93,9287</v>
      </c>
      <c r="M33" s="19" t="s">
        <v>186</v>
      </c>
    </row>
    <row r="34" spans="1:13" x14ac:dyDescent="0.2">
      <c r="A34" s="22" t="s">
        <v>266</v>
      </c>
      <c r="B34" s="22" t="s">
        <v>267</v>
      </c>
      <c r="C34" s="22" t="s">
        <v>268</v>
      </c>
      <c r="D34" s="22" t="str">
        <f>"0,5678"</f>
        <v>0,5678</v>
      </c>
      <c r="E34" s="22" t="s">
        <v>183</v>
      </c>
      <c r="F34" s="22" t="s">
        <v>184</v>
      </c>
      <c r="G34" s="24" t="s">
        <v>255</v>
      </c>
      <c r="H34" s="24" t="s">
        <v>269</v>
      </c>
      <c r="I34" s="24" t="s">
        <v>85</v>
      </c>
      <c r="J34" s="23"/>
      <c r="K34" s="30" t="str">
        <f>"150,0"</f>
        <v>150,0</v>
      </c>
      <c r="L34" s="31" t="str">
        <f>"86,0217"</f>
        <v>86,0217</v>
      </c>
      <c r="M34" s="22" t="s">
        <v>186</v>
      </c>
    </row>
    <row r="35" spans="1:13" x14ac:dyDescent="0.2">
      <c r="A35" s="22" t="s">
        <v>271</v>
      </c>
      <c r="B35" s="22" t="s">
        <v>272</v>
      </c>
      <c r="C35" s="22" t="s">
        <v>273</v>
      </c>
      <c r="D35" s="22" t="str">
        <f>"0,5556"</f>
        <v>0,5556</v>
      </c>
      <c r="E35" s="22" t="s">
        <v>82</v>
      </c>
      <c r="F35" s="22" t="s">
        <v>51</v>
      </c>
      <c r="G35" s="24" t="s">
        <v>86</v>
      </c>
      <c r="H35" s="24" t="s">
        <v>106</v>
      </c>
      <c r="I35" s="24" t="s">
        <v>274</v>
      </c>
      <c r="J35" s="23"/>
      <c r="K35" s="30" t="str">
        <f>"172,5"</f>
        <v>172,5</v>
      </c>
      <c r="L35" s="31" t="str">
        <f>"95,8496"</f>
        <v>95,8496</v>
      </c>
      <c r="M35" s="22" t="s">
        <v>91</v>
      </c>
    </row>
    <row r="36" spans="1:13" x14ac:dyDescent="0.2">
      <c r="A36" s="22" t="s">
        <v>276</v>
      </c>
      <c r="B36" s="22" t="s">
        <v>277</v>
      </c>
      <c r="C36" s="22" t="s">
        <v>278</v>
      </c>
      <c r="D36" s="22" t="str">
        <f>"0,5551"</f>
        <v>0,5551</v>
      </c>
      <c r="E36" s="22" t="s">
        <v>170</v>
      </c>
      <c r="F36" s="22" t="s">
        <v>279</v>
      </c>
      <c r="G36" s="24" t="s">
        <v>280</v>
      </c>
      <c r="H36" s="23" t="s">
        <v>274</v>
      </c>
      <c r="I36" s="24" t="s">
        <v>274</v>
      </c>
      <c r="J36" s="23"/>
      <c r="K36" s="30" t="str">
        <f>"172,5"</f>
        <v>172,5</v>
      </c>
      <c r="L36" s="31" t="str">
        <f>"95,7634"</f>
        <v>95,7634</v>
      </c>
      <c r="M36" s="22" t="s">
        <v>281</v>
      </c>
    </row>
    <row r="37" spans="1:13" x14ac:dyDescent="0.2">
      <c r="A37" s="22" t="s">
        <v>282</v>
      </c>
      <c r="B37" s="22" t="s">
        <v>189</v>
      </c>
      <c r="C37" s="22" t="s">
        <v>190</v>
      </c>
      <c r="D37" s="22" t="str">
        <f>"0,5751"</f>
        <v>0,5751</v>
      </c>
      <c r="E37" s="22" t="s">
        <v>183</v>
      </c>
      <c r="F37" s="22" t="s">
        <v>184</v>
      </c>
      <c r="G37" s="24" t="s">
        <v>264</v>
      </c>
      <c r="H37" s="24" t="s">
        <v>209</v>
      </c>
      <c r="I37" s="24" t="s">
        <v>106</v>
      </c>
      <c r="J37" s="23"/>
      <c r="K37" s="30" t="str">
        <f>"170,0"</f>
        <v>170,0</v>
      </c>
      <c r="L37" s="31" t="str">
        <f>"97,7670"</f>
        <v>97,7670</v>
      </c>
      <c r="M37" s="22" t="s">
        <v>191</v>
      </c>
    </row>
    <row r="38" spans="1:13" x14ac:dyDescent="0.2">
      <c r="A38" s="25" t="s">
        <v>284</v>
      </c>
      <c r="B38" s="25" t="s">
        <v>285</v>
      </c>
      <c r="C38" s="25" t="s">
        <v>286</v>
      </c>
      <c r="D38" s="25" t="str">
        <f>"0,5654"</f>
        <v>0,5654</v>
      </c>
      <c r="E38" s="25" t="s">
        <v>207</v>
      </c>
      <c r="F38" s="25" t="s">
        <v>208</v>
      </c>
      <c r="G38" s="26" t="s">
        <v>104</v>
      </c>
      <c r="H38" s="26" t="s">
        <v>151</v>
      </c>
      <c r="I38" s="27" t="s">
        <v>85</v>
      </c>
      <c r="J38" s="27"/>
      <c r="K38" s="32" t="str">
        <f>"140,0"</f>
        <v>140,0</v>
      </c>
      <c r="L38" s="33" t="str">
        <f>"79,1560"</f>
        <v>79,1560</v>
      </c>
      <c r="M38" s="25" t="s">
        <v>210</v>
      </c>
    </row>
    <row r="40" spans="1:13" ht="15" x14ac:dyDescent="0.2">
      <c r="A40" s="54" t="s">
        <v>287</v>
      </c>
      <c r="B40" s="54"/>
      <c r="C40" s="54"/>
      <c r="D40" s="54"/>
      <c r="E40" s="54"/>
      <c r="F40" s="54"/>
      <c r="G40" s="54"/>
      <c r="H40" s="54"/>
      <c r="I40" s="54"/>
      <c r="J40" s="54"/>
    </row>
    <row r="41" spans="1:13" x14ac:dyDescent="0.2">
      <c r="A41" s="19" t="s">
        <v>289</v>
      </c>
      <c r="B41" s="19" t="s">
        <v>290</v>
      </c>
      <c r="C41" s="19" t="s">
        <v>291</v>
      </c>
      <c r="D41" s="19" t="str">
        <f>"0,5446"</f>
        <v>0,5446</v>
      </c>
      <c r="E41" s="19" t="s">
        <v>207</v>
      </c>
      <c r="F41" s="19" t="s">
        <v>208</v>
      </c>
      <c r="G41" s="20" t="s">
        <v>106</v>
      </c>
      <c r="H41" s="20" t="s">
        <v>83</v>
      </c>
      <c r="I41" s="20" t="s">
        <v>292</v>
      </c>
      <c r="J41" s="21"/>
      <c r="K41" s="28" t="str">
        <f>"185,0"</f>
        <v>185,0</v>
      </c>
      <c r="L41" s="29" t="str">
        <f>"100,7510"</f>
        <v>100,7510</v>
      </c>
      <c r="M41" s="19" t="s">
        <v>210</v>
      </c>
    </row>
    <row r="42" spans="1:13" x14ac:dyDescent="0.2">
      <c r="A42" s="25" t="s">
        <v>289</v>
      </c>
      <c r="B42" s="25" t="s">
        <v>293</v>
      </c>
      <c r="C42" s="25" t="s">
        <v>291</v>
      </c>
      <c r="D42" s="25" t="str">
        <f>"0,5446"</f>
        <v>0,5446</v>
      </c>
      <c r="E42" s="25" t="s">
        <v>207</v>
      </c>
      <c r="F42" s="25" t="s">
        <v>208</v>
      </c>
      <c r="G42" s="26" t="s">
        <v>106</v>
      </c>
      <c r="H42" s="26" t="s">
        <v>83</v>
      </c>
      <c r="I42" s="26" t="s">
        <v>292</v>
      </c>
      <c r="J42" s="27"/>
      <c r="K42" s="32" t="str">
        <f>"185,0"</f>
        <v>185,0</v>
      </c>
      <c r="L42" s="33" t="str">
        <f>"102,5645"</f>
        <v>102,5645</v>
      </c>
      <c r="M42" s="25" t="s">
        <v>210</v>
      </c>
    </row>
    <row r="44" spans="1:13" ht="15" x14ac:dyDescent="0.2">
      <c r="A44" s="54" t="s">
        <v>294</v>
      </c>
      <c r="B44" s="54"/>
      <c r="C44" s="54"/>
      <c r="D44" s="54"/>
      <c r="E44" s="54"/>
      <c r="F44" s="54"/>
      <c r="G44" s="54"/>
      <c r="H44" s="54"/>
      <c r="I44" s="54"/>
      <c r="J44" s="54"/>
    </row>
    <row r="45" spans="1:13" x14ac:dyDescent="0.2">
      <c r="A45" s="6" t="s">
        <v>296</v>
      </c>
      <c r="B45" s="6" t="s">
        <v>297</v>
      </c>
      <c r="C45" s="6" t="s">
        <v>298</v>
      </c>
      <c r="D45" s="6" t="str">
        <f>"0,5349"</f>
        <v>0,5349</v>
      </c>
      <c r="E45" s="6" t="s">
        <v>207</v>
      </c>
      <c r="F45" s="6" t="s">
        <v>208</v>
      </c>
      <c r="G45" s="8" t="s">
        <v>87</v>
      </c>
      <c r="H45" s="7" t="s">
        <v>274</v>
      </c>
      <c r="I45" s="7" t="s">
        <v>274</v>
      </c>
      <c r="J45" s="7"/>
      <c r="K45" s="11" t="str">
        <f>"165,0"</f>
        <v>165,0</v>
      </c>
      <c r="L45" s="12" t="str">
        <f>"88,2503"</f>
        <v>88,2503</v>
      </c>
      <c r="M45" s="6" t="s">
        <v>210</v>
      </c>
    </row>
    <row r="47" spans="1:13" ht="15" x14ac:dyDescent="0.2">
      <c r="E47" s="9" t="s">
        <v>28</v>
      </c>
      <c r="F47" s="34" t="s">
        <v>520</v>
      </c>
    </row>
    <row r="48" spans="1:13" ht="15" x14ac:dyDescent="0.2">
      <c r="E48" s="9" t="s">
        <v>29</v>
      </c>
      <c r="F48" s="34" t="s">
        <v>523</v>
      </c>
    </row>
    <row r="49" spans="1:6" ht="15" x14ac:dyDescent="0.2">
      <c r="E49" s="9" t="s">
        <v>30</v>
      </c>
      <c r="F49" s="34" t="s">
        <v>521</v>
      </c>
    </row>
    <row r="50" spans="1:6" ht="15" x14ac:dyDescent="0.2">
      <c r="E50" s="9" t="s">
        <v>31</v>
      </c>
      <c r="F50" s="34" t="s">
        <v>524</v>
      </c>
    </row>
    <row r="51" spans="1:6" ht="15" x14ac:dyDescent="0.2">
      <c r="E51" s="9" t="s">
        <v>31</v>
      </c>
      <c r="F51" s="34" t="s">
        <v>522</v>
      </c>
    </row>
    <row r="52" spans="1:6" ht="15" x14ac:dyDescent="0.2">
      <c r="E52" s="9"/>
    </row>
    <row r="53" spans="1:6" ht="15" x14ac:dyDescent="0.2">
      <c r="E53" s="9"/>
    </row>
    <row r="55" spans="1:6" ht="18" x14ac:dyDescent="0.25">
      <c r="A55" s="13" t="s">
        <v>32</v>
      </c>
      <c r="B55" s="13"/>
    </row>
    <row r="56" spans="1:6" ht="15" x14ac:dyDescent="0.2">
      <c r="A56" s="14" t="s">
        <v>33</v>
      </c>
      <c r="B56" s="14"/>
    </row>
    <row r="57" spans="1:6" ht="14.25" x14ac:dyDescent="0.2">
      <c r="A57" s="16"/>
      <c r="B57" s="17" t="s">
        <v>299</v>
      </c>
    </row>
    <row r="58" spans="1:6" ht="15" x14ac:dyDescent="0.2">
      <c r="A58" s="18" t="s">
        <v>35</v>
      </c>
      <c r="B58" s="18" t="s">
        <v>36</v>
      </c>
      <c r="C58" s="18" t="s">
        <v>37</v>
      </c>
      <c r="D58" s="18" t="s">
        <v>193</v>
      </c>
      <c r="E58" s="18" t="s">
        <v>39</v>
      </c>
    </row>
    <row r="59" spans="1:6" x14ac:dyDescent="0.2">
      <c r="A59" s="15" t="s">
        <v>221</v>
      </c>
      <c r="B59" s="4" t="s">
        <v>194</v>
      </c>
      <c r="C59" s="4" t="s">
        <v>300</v>
      </c>
      <c r="D59" s="4" t="s">
        <v>56</v>
      </c>
      <c r="E59" s="10" t="s">
        <v>301</v>
      </c>
    </row>
    <row r="61" spans="1:6" ht="14.25" x14ac:dyDescent="0.2">
      <c r="A61" s="16"/>
      <c r="B61" s="17" t="s">
        <v>113</v>
      </c>
    </row>
    <row r="62" spans="1:6" ht="15" x14ac:dyDescent="0.2">
      <c r="A62" s="18" t="s">
        <v>35</v>
      </c>
      <c r="B62" s="18" t="s">
        <v>36</v>
      </c>
      <c r="C62" s="18" t="s">
        <v>37</v>
      </c>
      <c r="D62" s="18" t="s">
        <v>193</v>
      </c>
      <c r="E62" s="18" t="s">
        <v>39</v>
      </c>
    </row>
    <row r="63" spans="1:6" x14ac:dyDescent="0.2">
      <c r="A63" s="15" t="s">
        <v>238</v>
      </c>
      <c r="B63" s="4" t="s">
        <v>113</v>
      </c>
      <c r="C63" s="4" t="s">
        <v>117</v>
      </c>
      <c r="D63" s="4" t="s">
        <v>52</v>
      </c>
      <c r="E63" s="10" t="s">
        <v>302</v>
      </c>
    </row>
    <row r="64" spans="1:6" x14ac:dyDescent="0.2">
      <c r="A64" s="15" t="s">
        <v>60</v>
      </c>
      <c r="B64" s="4" t="s">
        <v>113</v>
      </c>
      <c r="C64" s="4" t="s">
        <v>117</v>
      </c>
      <c r="D64" s="4" t="s">
        <v>25</v>
      </c>
      <c r="E64" s="10" t="s">
        <v>303</v>
      </c>
    </row>
    <row r="65" spans="1:5" x14ac:dyDescent="0.2">
      <c r="A65" s="15" t="s">
        <v>232</v>
      </c>
      <c r="B65" s="4" t="s">
        <v>113</v>
      </c>
      <c r="C65" s="4" t="s">
        <v>41</v>
      </c>
      <c r="D65" s="4" t="s">
        <v>236</v>
      </c>
      <c r="E65" s="10" t="s">
        <v>304</v>
      </c>
    </row>
    <row r="67" spans="1:5" ht="14.25" x14ac:dyDescent="0.2">
      <c r="A67" s="16"/>
      <c r="B67" s="17" t="s">
        <v>34</v>
      </c>
    </row>
    <row r="68" spans="1:5" ht="15" x14ac:dyDescent="0.2">
      <c r="A68" s="18" t="s">
        <v>35</v>
      </c>
      <c r="B68" s="18" t="s">
        <v>36</v>
      </c>
      <c r="C68" s="18" t="s">
        <v>37</v>
      </c>
      <c r="D68" s="18" t="s">
        <v>193</v>
      </c>
      <c r="E68" s="18" t="s">
        <v>39</v>
      </c>
    </row>
    <row r="69" spans="1:5" x14ac:dyDescent="0.2">
      <c r="A69" s="15" t="s">
        <v>228</v>
      </c>
      <c r="B69" s="4" t="s">
        <v>305</v>
      </c>
      <c r="C69" s="4" t="s">
        <v>114</v>
      </c>
      <c r="D69" s="4" t="s">
        <v>226</v>
      </c>
      <c r="E69" s="10" t="s">
        <v>306</v>
      </c>
    </row>
    <row r="70" spans="1:5" x14ac:dyDescent="0.2">
      <c r="A70" s="15" t="s">
        <v>16</v>
      </c>
      <c r="B70" s="4" t="s">
        <v>40</v>
      </c>
      <c r="C70" s="4" t="s">
        <v>41</v>
      </c>
      <c r="D70" s="4" t="s">
        <v>24</v>
      </c>
      <c r="E70" s="10" t="s">
        <v>307</v>
      </c>
    </row>
    <row r="73" spans="1:5" ht="15" x14ac:dyDescent="0.2">
      <c r="A73" s="14" t="s">
        <v>120</v>
      </c>
      <c r="B73" s="14"/>
    </row>
    <row r="74" spans="1:5" ht="14.25" x14ac:dyDescent="0.2">
      <c r="A74" s="16"/>
      <c r="B74" s="17" t="s">
        <v>121</v>
      </c>
    </row>
    <row r="75" spans="1:5" ht="15" x14ac:dyDescent="0.2">
      <c r="A75" s="18" t="s">
        <v>35</v>
      </c>
      <c r="B75" s="18" t="s">
        <v>36</v>
      </c>
      <c r="C75" s="18" t="s">
        <v>37</v>
      </c>
      <c r="D75" s="18" t="s">
        <v>193</v>
      </c>
      <c r="E75" s="18" t="s">
        <v>39</v>
      </c>
    </row>
    <row r="76" spans="1:5" x14ac:dyDescent="0.2">
      <c r="A76" s="15" t="s">
        <v>243</v>
      </c>
      <c r="B76" s="4" t="s">
        <v>122</v>
      </c>
      <c r="C76" s="4" t="s">
        <v>157</v>
      </c>
      <c r="D76" s="4" t="s">
        <v>248</v>
      </c>
      <c r="E76" s="10" t="s">
        <v>308</v>
      </c>
    </row>
    <row r="78" spans="1:5" ht="14.25" x14ac:dyDescent="0.2">
      <c r="A78" s="16"/>
      <c r="B78" s="17" t="s">
        <v>192</v>
      </c>
    </row>
    <row r="79" spans="1:5" ht="15" x14ac:dyDescent="0.2">
      <c r="A79" s="18" t="s">
        <v>35</v>
      </c>
      <c r="B79" s="18" t="s">
        <v>36</v>
      </c>
      <c r="C79" s="18" t="s">
        <v>37</v>
      </c>
      <c r="D79" s="18" t="s">
        <v>193</v>
      </c>
      <c r="E79" s="18" t="s">
        <v>39</v>
      </c>
    </row>
    <row r="80" spans="1:5" x14ac:dyDescent="0.2">
      <c r="A80" s="15" t="s">
        <v>179</v>
      </c>
      <c r="B80" s="4" t="s">
        <v>194</v>
      </c>
      <c r="C80" s="4" t="s">
        <v>123</v>
      </c>
      <c r="D80" s="4" t="s">
        <v>209</v>
      </c>
      <c r="E80" s="10" t="s">
        <v>309</v>
      </c>
    </row>
    <row r="81" spans="1:5" x14ac:dyDescent="0.2">
      <c r="A81" s="15" t="s">
        <v>265</v>
      </c>
      <c r="B81" s="4" t="s">
        <v>194</v>
      </c>
      <c r="C81" s="4" t="s">
        <v>123</v>
      </c>
      <c r="D81" s="4" t="s">
        <v>85</v>
      </c>
      <c r="E81" s="10" t="s">
        <v>310</v>
      </c>
    </row>
    <row r="83" spans="1:5" ht="14.25" x14ac:dyDescent="0.2">
      <c r="A83" s="16"/>
      <c r="B83" s="17" t="s">
        <v>113</v>
      </c>
    </row>
    <row r="84" spans="1:5" ht="15" x14ac:dyDescent="0.2">
      <c r="A84" s="18" t="s">
        <v>35</v>
      </c>
      <c r="B84" s="18" t="s">
        <v>36</v>
      </c>
      <c r="C84" s="18" t="s">
        <v>37</v>
      </c>
      <c r="D84" s="18" t="s">
        <v>193</v>
      </c>
      <c r="E84" s="18" t="s">
        <v>39</v>
      </c>
    </row>
    <row r="85" spans="1:5" x14ac:dyDescent="0.2">
      <c r="A85" s="15" t="s">
        <v>288</v>
      </c>
      <c r="B85" s="4" t="s">
        <v>113</v>
      </c>
      <c r="C85" s="4" t="s">
        <v>311</v>
      </c>
      <c r="D85" s="4" t="s">
        <v>292</v>
      </c>
      <c r="E85" s="10" t="s">
        <v>312</v>
      </c>
    </row>
    <row r="86" spans="1:5" x14ac:dyDescent="0.2">
      <c r="A86" s="15" t="s">
        <v>187</v>
      </c>
      <c r="B86" s="4" t="s">
        <v>113</v>
      </c>
      <c r="C86" s="4" t="s">
        <v>123</v>
      </c>
      <c r="D86" s="4" t="s">
        <v>106</v>
      </c>
      <c r="E86" s="10" t="s">
        <v>313</v>
      </c>
    </row>
    <row r="87" spans="1:5" x14ac:dyDescent="0.2">
      <c r="A87" s="15" t="s">
        <v>270</v>
      </c>
      <c r="B87" s="4" t="s">
        <v>113</v>
      </c>
      <c r="C87" s="4" t="s">
        <v>123</v>
      </c>
      <c r="D87" s="4" t="s">
        <v>274</v>
      </c>
      <c r="E87" s="10" t="s">
        <v>314</v>
      </c>
    </row>
    <row r="88" spans="1:5" x14ac:dyDescent="0.2">
      <c r="A88" s="15" t="s">
        <v>275</v>
      </c>
      <c r="B88" s="4" t="s">
        <v>113</v>
      </c>
      <c r="C88" s="4" t="s">
        <v>123</v>
      </c>
      <c r="D88" s="4" t="s">
        <v>274</v>
      </c>
      <c r="E88" s="10" t="s">
        <v>315</v>
      </c>
    </row>
    <row r="89" spans="1:5" x14ac:dyDescent="0.2">
      <c r="A89" s="15" t="s">
        <v>166</v>
      </c>
      <c r="B89" s="4" t="s">
        <v>113</v>
      </c>
      <c r="C89" s="4" t="s">
        <v>197</v>
      </c>
      <c r="D89" s="4" t="s">
        <v>151</v>
      </c>
      <c r="E89" s="10" t="s">
        <v>316</v>
      </c>
    </row>
    <row r="90" spans="1:5" x14ac:dyDescent="0.2">
      <c r="A90" s="15" t="s">
        <v>295</v>
      </c>
      <c r="B90" s="4" t="s">
        <v>113</v>
      </c>
      <c r="C90" s="4" t="s">
        <v>317</v>
      </c>
      <c r="D90" s="4" t="s">
        <v>87</v>
      </c>
      <c r="E90" s="10" t="s">
        <v>318</v>
      </c>
    </row>
    <row r="91" spans="1:5" x14ac:dyDescent="0.2">
      <c r="A91" s="15" t="s">
        <v>251</v>
      </c>
      <c r="B91" s="4" t="s">
        <v>113</v>
      </c>
      <c r="C91" s="4" t="s">
        <v>127</v>
      </c>
      <c r="D91" s="4" t="s">
        <v>177</v>
      </c>
      <c r="E91" s="10" t="s">
        <v>319</v>
      </c>
    </row>
    <row r="92" spans="1:5" x14ac:dyDescent="0.2">
      <c r="A92" s="15" t="s">
        <v>260</v>
      </c>
      <c r="B92" s="4" t="s">
        <v>113</v>
      </c>
      <c r="C92" s="4" t="s">
        <v>130</v>
      </c>
      <c r="D92" s="4" t="s">
        <v>151</v>
      </c>
      <c r="E92" s="10" t="s">
        <v>320</v>
      </c>
    </row>
    <row r="93" spans="1:5" x14ac:dyDescent="0.2">
      <c r="A93" s="15" t="s">
        <v>283</v>
      </c>
      <c r="B93" s="4" t="s">
        <v>113</v>
      </c>
      <c r="C93" s="4" t="s">
        <v>123</v>
      </c>
      <c r="D93" s="4" t="s">
        <v>151</v>
      </c>
      <c r="E93" s="10" t="s">
        <v>321</v>
      </c>
    </row>
    <row r="94" spans="1:5" x14ac:dyDescent="0.2">
      <c r="A94" s="15" t="s">
        <v>256</v>
      </c>
      <c r="B94" s="4" t="s">
        <v>113</v>
      </c>
      <c r="C94" s="4" t="s">
        <v>127</v>
      </c>
      <c r="D94" s="4" t="s">
        <v>103</v>
      </c>
      <c r="E94" s="10" t="s">
        <v>322</v>
      </c>
    </row>
    <row r="96" spans="1:5" ht="14.25" x14ac:dyDescent="0.2">
      <c r="A96" s="16"/>
      <c r="B96" s="17" t="s">
        <v>34</v>
      </c>
    </row>
    <row r="97" spans="1:5" ht="15" x14ac:dyDescent="0.2">
      <c r="A97" s="18" t="s">
        <v>35</v>
      </c>
      <c r="B97" s="18" t="s">
        <v>36</v>
      </c>
      <c r="C97" s="18" t="s">
        <v>37</v>
      </c>
      <c r="D97" s="18" t="s">
        <v>193</v>
      </c>
      <c r="E97" s="18" t="s">
        <v>39</v>
      </c>
    </row>
    <row r="98" spans="1:5" x14ac:dyDescent="0.2">
      <c r="A98" s="15" t="s">
        <v>288</v>
      </c>
      <c r="B98" s="4" t="s">
        <v>323</v>
      </c>
      <c r="C98" s="4" t="s">
        <v>311</v>
      </c>
      <c r="D98" s="4" t="s">
        <v>292</v>
      </c>
      <c r="E98" s="10" t="s">
        <v>324</v>
      </c>
    </row>
  </sheetData>
  <mergeCells count="22">
    <mergeCell ref="A29:J29"/>
    <mergeCell ref="A32:J32"/>
    <mergeCell ref="A40:J40"/>
    <mergeCell ref="A44:J44"/>
    <mergeCell ref="A8:J8"/>
    <mergeCell ref="A11:J11"/>
    <mergeCell ref="A15:J15"/>
    <mergeCell ref="A19:J19"/>
    <mergeCell ref="A22:J22"/>
    <mergeCell ref="A25:J25"/>
    <mergeCell ref="K3:K4"/>
    <mergeCell ref="L3:L4"/>
    <mergeCell ref="M3:M4"/>
    <mergeCell ref="A5:J5"/>
    <mergeCell ref="A1:M2"/>
    <mergeCell ref="A3:A4"/>
    <mergeCell ref="B3:B4"/>
    <mergeCell ref="C3:C4"/>
    <mergeCell ref="D3:D4"/>
    <mergeCell ref="E3:E4"/>
    <mergeCell ref="F3:F4"/>
    <mergeCell ref="G3:J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E13" sqref="E13"/>
    </sheetView>
  </sheetViews>
  <sheetFormatPr defaultRowHeight="12.75" x14ac:dyDescent="0.2"/>
  <cols>
    <col min="1" max="1" width="26" style="4" bestFit="1" customWidth="1"/>
    <col min="2" max="2" width="28.5703125" style="4" bestFit="1" customWidth="1"/>
    <col min="3" max="3" width="15.5703125" style="4" bestFit="1" customWidth="1"/>
    <col min="4" max="4" width="11.85546875" style="4" bestFit="1" customWidth="1"/>
    <col min="5" max="5" width="22.7109375" style="4" bestFit="1" customWidth="1"/>
    <col min="6" max="6" width="21.85546875" style="4" bestFit="1" customWidth="1"/>
    <col min="7" max="9" width="5.5703125" style="3" customWidth="1"/>
    <col min="10" max="10" width="4.85546875" style="3" customWidth="1"/>
    <col min="11" max="11" width="7.85546875" style="10" bestFit="1" customWidth="1"/>
    <col min="12" max="12" width="8.5703125" style="2" bestFit="1" customWidth="1"/>
    <col min="13" max="13" width="8.85546875" style="4" bestFit="1" customWidth="1"/>
    <col min="14" max="16384" width="9.140625" style="3"/>
  </cols>
  <sheetData>
    <row r="1" spans="1:13" s="2" customFormat="1" ht="29.1" customHeight="1" x14ac:dyDescent="0.2">
      <c r="A1" s="39" t="s">
        <v>212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s="2" customFormat="1" ht="62.1" customHeight="1" thickBot="1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4"/>
    </row>
    <row r="3" spans="1:13" s="1" customFormat="1" ht="12.75" customHeight="1" x14ac:dyDescent="0.2">
      <c r="A3" s="45" t="s">
        <v>0</v>
      </c>
      <c r="B3" s="47" t="s">
        <v>6</v>
      </c>
      <c r="C3" s="47" t="s">
        <v>10</v>
      </c>
      <c r="D3" s="49" t="s">
        <v>11</v>
      </c>
      <c r="E3" s="49" t="s">
        <v>4</v>
      </c>
      <c r="F3" s="49" t="s">
        <v>7</v>
      </c>
      <c r="G3" s="49" t="s">
        <v>13</v>
      </c>
      <c r="H3" s="49"/>
      <c r="I3" s="49"/>
      <c r="J3" s="49"/>
      <c r="K3" s="49" t="s">
        <v>201</v>
      </c>
      <c r="L3" s="49" t="s">
        <v>3</v>
      </c>
      <c r="M3" s="50" t="s">
        <v>2</v>
      </c>
    </row>
    <row r="4" spans="1:13" s="1" customFormat="1" ht="21" customHeight="1" thickBot="1" x14ac:dyDescent="0.25">
      <c r="A4" s="46"/>
      <c r="B4" s="48"/>
      <c r="C4" s="48"/>
      <c r="D4" s="48"/>
      <c r="E4" s="48"/>
      <c r="F4" s="48"/>
      <c r="G4" s="5">
        <v>1</v>
      </c>
      <c r="H4" s="5">
        <v>2</v>
      </c>
      <c r="I4" s="5">
        <v>3</v>
      </c>
      <c r="J4" s="5" t="s">
        <v>5</v>
      </c>
      <c r="K4" s="48"/>
      <c r="L4" s="48"/>
      <c r="M4" s="51"/>
    </row>
    <row r="5" spans="1:13" ht="15" x14ac:dyDescent="0.2">
      <c r="A5" s="52" t="s">
        <v>69</v>
      </c>
      <c r="B5" s="53"/>
      <c r="C5" s="53"/>
      <c r="D5" s="53"/>
      <c r="E5" s="53"/>
      <c r="F5" s="53"/>
      <c r="G5" s="53"/>
      <c r="H5" s="53"/>
      <c r="I5" s="53"/>
      <c r="J5" s="53"/>
    </row>
    <row r="6" spans="1:13" x14ac:dyDescent="0.2">
      <c r="A6" s="6" t="s">
        <v>214</v>
      </c>
      <c r="B6" s="6" t="s">
        <v>215</v>
      </c>
      <c r="C6" s="6" t="s">
        <v>216</v>
      </c>
      <c r="D6" s="6" t="str">
        <f>"0,6193"</f>
        <v>0,6193</v>
      </c>
      <c r="E6" s="6" t="s">
        <v>82</v>
      </c>
      <c r="F6" s="6" t="s">
        <v>21</v>
      </c>
      <c r="G6" s="8" t="s">
        <v>22</v>
      </c>
      <c r="H6" s="8" t="s">
        <v>26</v>
      </c>
      <c r="I6" s="7" t="s">
        <v>105</v>
      </c>
      <c r="J6" s="7"/>
      <c r="K6" s="11" t="str">
        <f>"107,5"</f>
        <v>107,5</v>
      </c>
      <c r="L6" s="12" t="str">
        <f>"105,8539"</f>
        <v>105,8539</v>
      </c>
      <c r="M6" s="6" t="s">
        <v>91</v>
      </c>
    </row>
    <row r="8" spans="1:13" ht="15" x14ac:dyDescent="0.2">
      <c r="E8" s="9" t="s">
        <v>28</v>
      </c>
      <c r="F8" s="34" t="s">
        <v>520</v>
      </c>
    </row>
    <row r="9" spans="1:13" ht="15" x14ac:dyDescent="0.2">
      <c r="E9" s="9" t="s">
        <v>29</v>
      </c>
      <c r="F9" s="34" t="s">
        <v>523</v>
      </c>
    </row>
    <row r="10" spans="1:13" ht="15" x14ac:dyDescent="0.2">
      <c r="E10" s="9" t="s">
        <v>30</v>
      </c>
      <c r="F10" s="34" t="s">
        <v>521</v>
      </c>
    </row>
    <row r="11" spans="1:13" ht="15" x14ac:dyDescent="0.2">
      <c r="E11" s="9" t="s">
        <v>31</v>
      </c>
      <c r="F11" s="34" t="s">
        <v>524</v>
      </c>
    </row>
    <row r="12" spans="1:13" ht="15" x14ac:dyDescent="0.2">
      <c r="E12" s="9" t="s">
        <v>31</v>
      </c>
      <c r="F12" s="34" t="s">
        <v>522</v>
      </c>
    </row>
    <row r="13" spans="1:13" ht="15" x14ac:dyDescent="0.2">
      <c r="E13" s="9"/>
    </row>
    <row r="14" spans="1:13" ht="15" x14ac:dyDescent="0.2">
      <c r="E14" s="9"/>
    </row>
    <row r="16" spans="1:13" ht="18" x14ac:dyDescent="0.25">
      <c r="A16" s="13" t="s">
        <v>32</v>
      </c>
      <c r="B16" s="13"/>
    </row>
    <row r="17" spans="1:5" ht="15" x14ac:dyDescent="0.2">
      <c r="A17" s="14" t="s">
        <v>120</v>
      </c>
      <c r="B17" s="14"/>
    </row>
    <row r="18" spans="1:5" ht="14.25" x14ac:dyDescent="0.2">
      <c r="A18" s="16"/>
      <c r="B18" s="17" t="s">
        <v>34</v>
      </c>
    </row>
    <row r="19" spans="1:5" ht="15" x14ac:dyDescent="0.2">
      <c r="A19" s="18" t="s">
        <v>35</v>
      </c>
      <c r="B19" s="18" t="s">
        <v>36</v>
      </c>
      <c r="C19" s="18" t="s">
        <v>37</v>
      </c>
      <c r="D19" s="18" t="s">
        <v>193</v>
      </c>
      <c r="E19" s="18" t="s">
        <v>39</v>
      </c>
    </row>
    <row r="20" spans="1:5" x14ac:dyDescent="0.2">
      <c r="A20" s="15" t="s">
        <v>213</v>
      </c>
      <c r="B20" s="4" t="s">
        <v>217</v>
      </c>
      <c r="C20" s="4" t="s">
        <v>127</v>
      </c>
      <c r="D20" s="4" t="s">
        <v>26</v>
      </c>
      <c r="E20" s="10" t="s">
        <v>218</v>
      </c>
    </row>
  </sheetData>
  <mergeCells count="12">
    <mergeCell ref="K3:K4"/>
    <mergeCell ref="L3:L4"/>
    <mergeCell ref="M3:M4"/>
    <mergeCell ref="A5:J5"/>
    <mergeCell ref="A1:M2"/>
    <mergeCell ref="A3:A4"/>
    <mergeCell ref="B3:B4"/>
    <mergeCell ref="C3:C4"/>
    <mergeCell ref="D3:D4"/>
    <mergeCell ref="E3:E4"/>
    <mergeCell ref="F3:F4"/>
    <mergeCell ref="G3:J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E13" sqref="E13"/>
    </sheetView>
  </sheetViews>
  <sheetFormatPr defaultRowHeight="12.75" x14ac:dyDescent="0.2"/>
  <cols>
    <col min="1" max="1" width="26" style="4" bestFit="1" customWidth="1"/>
    <col min="2" max="2" width="26.28515625" style="4" bestFit="1" customWidth="1"/>
    <col min="3" max="3" width="15.5703125" style="4" bestFit="1" customWidth="1"/>
    <col min="4" max="4" width="11.85546875" style="4" bestFit="1" customWidth="1"/>
    <col min="5" max="5" width="22.7109375" style="4" bestFit="1" customWidth="1"/>
    <col min="6" max="6" width="24.140625" style="4" bestFit="1" customWidth="1"/>
    <col min="7" max="9" width="5.5703125" style="3" customWidth="1"/>
    <col min="10" max="10" width="4.85546875" style="3" customWidth="1"/>
    <col min="11" max="11" width="7.85546875" style="10" bestFit="1" customWidth="1"/>
    <col min="12" max="12" width="7.5703125" style="2" bestFit="1" customWidth="1"/>
    <col min="13" max="13" width="16.42578125" style="4" bestFit="1" customWidth="1"/>
    <col min="14" max="16384" width="9.140625" style="3"/>
  </cols>
  <sheetData>
    <row r="1" spans="1:13" s="2" customFormat="1" ht="29.1" customHeight="1" x14ac:dyDescent="0.2">
      <c r="A1" s="39" t="s">
        <v>202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s="2" customFormat="1" ht="62.1" customHeight="1" thickBot="1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4"/>
    </row>
    <row r="3" spans="1:13" s="1" customFormat="1" ht="12.75" customHeight="1" x14ac:dyDescent="0.2">
      <c r="A3" s="45" t="s">
        <v>0</v>
      </c>
      <c r="B3" s="47" t="s">
        <v>6</v>
      </c>
      <c r="C3" s="47" t="s">
        <v>10</v>
      </c>
      <c r="D3" s="49" t="s">
        <v>11</v>
      </c>
      <c r="E3" s="49" t="s">
        <v>4</v>
      </c>
      <c r="F3" s="49" t="s">
        <v>7</v>
      </c>
      <c r="G3" s="49" t="s">
        <v>13</v>
      </c>
      <c r="H3" s="49"/>
      <c r="I3" s="49"/>
      <c r="J3" s="49"/>
      <c r="K3" s="49" t="s">
        <v>201</v>
      </c>
      <c r="L3" s="49" t="s">
        <v>3</v>
      </c>
      <c r="M3" s="50" t="s">
        <v>2</v>
      </c>
    </row>
    <row r="4" spans="1:13" s="1" customFormat="1" ht="21" customHeight="1" thickBot="1" x14ac:dyDescent="0.25">
      <c r="A4" s="46"/>
      <c r="B4" s="48"/>
      <c r="C4" s="48"/>
      <c r="D4" s="48"/>
      <c r="E4" s="48"/>
      <c r="F4" s="48"/>
      <c r="G4" s="5">
        <v>1</v>
      </c>
      <c r="H4" s="5">
        <v>2</v>
      </c>
      <c r="I4" s="5">
        <v>3</v>
      </c>
      <c r="J4" s="5" t="s">
        <v>5</v>
      </c>
      <c r="K4" s="48"/>
      <c r="L4" s="48"/>
      <c r="M4" s="51"/>
    </row>
    <row r="5" spans="1:13" ht="15" x14ac:dyDescent="0.2">
      <c r="A5" s="52" t="s">
        <v>107</v>
      </c>
      <c r="B5" s="53"/>
      <c r="C5" s="53"/>
      <c r="D5" s="53"/>
      <c r="E5" s="53"/>
      <c r="F5" s="53"/>
      <c r="G5" s="53"/>
      <c r="H5" s="53"/>
      <c r="I5" s="53"/>
      <c r="J5" s="53"/>
    </row>
    <row r="6" spans="1:13" x14ac:dyDescent="0.2">
      <c r="A6" s="6" t="s">
        <v>204</v>
      </c>
      <c r="B6" s="6" t="s">
        <v>205</v>
      </c>
      <c r="C6" s="6" t="s">
        <v>206</v>
      </c>
      <c r="D6" s="6" t="str">
        <f>"0,5540"</f>
        <v>0,5540</v>
      </c>
      <c r="E6" s="6" t="s">
        <v>207</v>
      </c>
      <c r="F6" s="6" t="s">
        <v>208</v>
      </c>
      <c r="G6" s="8" t="s">
        <v>85</v>
      </c>
      <c r="H6" s="8" t="s">
        <v>86</v>
      </c>
      <c r="I6" s="7" t="s">
        <v>209</v>
      </c>
      <c r="J6" s="7"/>
      <c r="K6" s="11" t="str">
        <f>"160,0"</f>
        <v>160,0</v>
      </c>
      <c r="L6" s="12" t="str">
        <f>"88,6400"</f>
        <v>88,6400</v>
      </c>
      <c r="M6" s="6" t="s">
        <v>210</v>
      </c>
    </row>
    <row r="8" spans="1:13" ht="15" x14ac:dyDescent="0.2">
      <c r="E8" s="9" t="s">
        <v>28</v>
      </c>
      <c r="F8" s="34" t="s">
        <v>520</v>
      </c>
    </row>
    <row r="9" spans="1:13" ht="15" x14ac:dyDescent="0.2">
      <c r="E9" s="9" t="s">
        <v>29</v>
      </c>
      <c r="F9" s="34" t="s">
        <v>523</v>
      </c>
    </row>
    <row r="10" spans="1:13" ht="15" x14ac:dyDescent="0.2">
      <c r="E10" s="9" t="s">
        <v>30</v>
      </c>
      <c r="F10" s="34" t="s">
        <v>521</v>
      </c>
    </row>
    <row r="11" spans="1:13" ht="15" x14ac:dyDescent="0.2">
      <c r="E11" s="9" t="s">
        <v>31</v>
      </c>
      <c r="F11" s="34" t="s">
        <v>524</v>
      </c>
    </row>
    <row r="12" spans="1:13" ht="15" x14ac:dyDescent="0.2">
      <c r="E12" s="9" t="s">
        <v>31</v>
      </c>
      <c r="F12" s="34" t="s">
        <v>522</v>
      </c>
    </row>
    <row r="13" spans="1:13" ht="15" x14ac:dyDescent="0.2">
      <c r="E13" s="9"/>
    </row>
    <row r="14" spans="1:13" ht="15" x14ac:dyDescent="0.2">
      <c r="E14" s="9"/>
    </row>
    <row r="16" spans="1:13" ht="18" x14ac:dyDescent="0.25">
      <c r="A16" s="13" t="s">
        <v>32</v>
      </c>
      <c r="B16" s="13"/>
    </row>
    <row r="17" spans="1:5" ht="15" x14ac:dyDescent="0.2">
      <c r="A17" s="14" t="s">
        <v>120</v>
      </c>
      <c r="B17" s="14"/>
    </row>
    <row r="18" spans="1:5" ht="14.25" x14ac:dyDescent="0.2">
      <c r="A18" s="16"/>
      <c r="B18" s="17" t="s">
        <v>113</v>
      </c>
    </row>
    <row r="19" spans="1:5" ht="15" x14ac:dyDescent="0.2">
      <c r="A19" s="18" t="s">
        <v>35</v>
      </c>
      <c r="B19" s="18" t="s">
        <v>36</v>
      </c>
      <c r="C19" s="18" t="s">
        <v>37</v>
      </c>
      <c r="D19" s="18" t="s">
        <v>193</v>
      </c>
      <c r="E19" s="18" t="s">
        <v>39</v>
      </c>
    </row>
    <row r="20" spans="1:5" x14ac:dyDescent="0.2">
      <c r="A20" s="15" t="s">
        <v>203</v>
      </c>
      <c r="B20" s="4" t="s">
        <v>113</v>
      </c>
      <c r="C20" s="4" t="s">
        <v>123</v>
      </c>
      <c r="D20" s="4" t="s">
        <v>86</v>
      </c>
      <c r="E20" s="10" t="s">
        <v>211</v>
      </c>
    </row>
  </sheetData>
  <mergeCells count="12">
    <mergeCell ref="K3:K4"/>
    <mergeCell ref="L3:L4"/>
    <mergeCell ref="M3:M4"/>
    <mergeCell ref="A5:J5"/>
    <mergeCell ref="A1:M2"/>
    <mergeCell ref="A3:A4"/>
    <mergeCell ref="B3:B4"/>
    <mergeCell ref="C3:C4"/>
    <mergeCell ref="D3:D4"/>
    <mergeCell ref="E3:E4"/>
    <mergeCell ref="F3:F4"/>
    <mergeCell ref="G3:J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activeCell="E21" sqref="E21"/>
    </sheetView>
  </sheetViews>
  <sheetFormatPr defaultRowHeight="12.75" x14ac:dyDescent="0.2"/>
  <cols>
    <col min="1" max="1" width="26" style="4" bestFit="1" customWidth="1"/>
    <col min="2" max="2" width="28.5703125" style="4" bestFit="1" customWidth="1"/>
    <col min="3" max="3" width="15.5703125" style="4" bestFit="1" customWidth="1"/>
    <col min="4" max="4" width="11.85546875" style="4" bestFit="1" customWidth="1"/>
    <col min="5" max="5" width="32.28515625" style="4" bestFit="1" customWidth="1"/>
    <col min="6" max="6" width="30.28515625" style="4" bestFit="1" customWidth="1"/>
    <col min="7" max="9" width="5.5703125" style="3" customWidth="1"/>
    <col min="10" max="10" width="4.85546875" style="3" customWidth="1"/>
    <col min="11" max="11" width="7.85546875" style="10" bestFit="1" customWidth="1"/>
    <col min="12" max="12" width="7.5703125" style="2" bestFit="1" customWidth="1"/>
    <col min="13" max="13" width="17.28515625" style="4" bestFit="1" customWidth="1"/>
    <col min="14" max="16384" width="9.140625" style="3"/>
  </cols>
  <sheetData>
    <row r="1" spans="1:13" s="2" customFormat="1" ht="29.1" customHeight="1" x14ac:dyDescent="0.2">
      <c r="A1" s="39" t="s">
        <v>164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s="2" customFormat="1" ht="62.1" customHeight="1" thickBot="1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4"/>
    </row>
    <row r="3" spans="1:13" s="1" customFormat="1" ht="12.75" customHeight="1" x14ac:dyDescent="0.2">
      <c r="A3" s="45" t="s">
        <v>0</v>
      </c>
      <c r="B3" s="47" t="s">
        <v>6</v>
      </c>
      <c r="C3" s="47" t="s">
        <v>10</v>
      </c>
      <c r="D3" s="49" t="s">
        <v>11</v>
      </c>
      <c r="E3" s="49" t="s">
        <v>4</v>
      </c>
      <c r="F3" s="49" t="s">
        <v>7</v>
      </c>
      <c r="G3" s="49" t="s">
        <v>13</v>
      </c>
      <c r="H3" s="49"/>
      <c r="I3" s="49"/>
      <c r="J3" s="49"/>
      <c r="K3" s="49" t="s">
        <v>201</v>
      </c>
      <c r="L3" s="49" t="s">
        <v>3</v>
      </c>
      <c r="M3" s="50" t="s">
        <v>2</v>
      </c>
    </row>
    <row r="4" spans="1:13" s="1" customFormat="1" ht="21" customHeight="1" thickBot="1" x14ac:dyDescent="0.25">
      <c r="A4" s="46"/>
      <c r="B4" s="48"/>
      <c r="C4" s="48"/>
      <c r="D4" s="48"/>
      <c r="E4" s="48"/>
      <c r="F4" s="48"/>
      <c r="G4" s="5">
        <v>1</v>
      </c>
      <c r="H4" s="5">
        <v>2</v>
      </c>
      <c r="I4" s="5">
        <v>3</v>
      </c>
      <c r="J4" s="5" t="s">
        <v>5</v>
      </c>
      <c r="K4" s="48"/>
      <c r="L4" s="48"/>
      <c r="M4" s="51"/>
    </row>
    <row r="5" spans="1:13" ht="15" x14ac:dyDescent="0.2">
      <c r="A5" s="52" t="s">
        <v>165</v>
      </c>
      <c r="B5" s="53"/>
      <c r="C5" s="53"/>
      <c r="D5" s="53"/>
      <c r="E5" s="53"/>
      <c r="F5" s="53"/>
      <c r="G5" s="53"/>
      <c r="H5" s="53"/>
      <c r="I5" s="53"/>
      <c r="J5" s="53"/>
    </row>
    <row r="6" spans="1:13" x14ac:dyDescent="0.2">
      <c r="A6" s="6" t="s">
        <v>167</v>
      </c>
      <c r="B6" s="6" t="s">
        <v>168</v>
      </c>
      <c r="C6" s="6" t="s">
        <v>169</v>
      </c>
      <c r="D6" s="6" t="str">
        <f>"0,6666"</f>
        <v>0,6666</v>
      </c>
      <c r="E6" s="6" t="s">
        <v>170</v>
      </c>
      <c r="F6" s="6" t="s">
        <v>171</v>
      </c>
      <c r="G6" s="8" t="s">
        <v>150</v>
      </c>
      <c r="H6" s="7" t="s">
        <v>96</v>
      </c>
      <c r="I6" s="8" t="s">
        <v>96</v>
      </c>
      <c r="J6" s="7"/>
      <c r="K6" s="11" t="str">
        <f>"135,0"</f>
        <v>135,0</v>
      </c>
      <c r="L6" s="12" t="str">
        <f>"89,9910"</f>
        <v>89,9910</v>
      </c>
      <c r="M6" s="6" t="s">
        <v>91</v>
      </c>
    </row>
    <row r="8" spans="1:13" ht="15" x14ac:dyDescent="0.2">
      <c r="A8" s="54" t="s">
        <v>77</v>
      </c>
      <c r="B8" s="54"/>
      <c r="C8" s="54"/>
      <c r="D8" s="54"/>
      <c r="E8" s="54"/>
      <c r="F8" s="54"/>
      <c r="G8" s="54"/>
      <c r="H8" s="54"/>
      <c r="I8" s="54"/>
      <c r="J8" s="54"/>
    </row>
    <row r="9" spans="1:13" x14ac:dyDescent="0.2">
      <c r="A9" s="19" t="s">
        <v>173</v>
      </c>
      <c r="B9" s="19" t="s">
        <v>174</v>
      </c>
      <c r="C9" s="19" t="s">
        <v>175</v>
      </c>
      <c r="D9" s="19" t="str">
        <f>"0,6080"</f>
        <v>0,6080</v>
      </c>
      <c r="E9" s="19" t="s">
        <v>170</v>
      </c>
      <c r="F9" s="19" t="s">
        <v>176</v>
      </c>
      <c r="G9" s="20" t="s">
        <v>104</v>
      </c>
      <c r="H9" s="20" t="s">
        <v>96</v>
      </c>
      <c r="I9" s="21" t="s">
        <v>177</v>
      </c>
      <c r="J9" s="21"/>
      <c r="K9" s="28" t="str">
        <f>"135,0"</f>
        <v>135,0</v>
      </c>
      <c r="L9" s="29" t="str">
        <f>"82,0867"</f>
        <v>82,0867</v>
      </c>
      <c r="M9" s="19" t="s">
        <v>91</v>
      </c>
    </row>
    <row r="10" spans="1:13" x14ac:dyDescent="0.2">
      <c r="A10" s="25" t="s">
        <v>173</v>
      </c>
      <c r="B10" s="25" t="s">
        <v>178</v>
      </c>
      <c r="C10" s="25" t="s">
        <v>175</v>
      </c>
      <c r="D10" s="25" t="str">
        <f>"0,6080"</f>
        <v>0,6080</v>
      </c>
      <c r="E10" s="25" t="s">
        <v>170</v>
      </c>
      <c r="F10" s="25" t="s">
        <v>176</v>
      </c>
      <c r="G10" s="26" t="s">
        <v>104</v>
      </c>
      <c r="H10" s="26" t="s">
        <v>96</v>
      </c>
      <c r="I10" s="27" t="s">
        <v>177</v>
      </c>
      <c r="J10" s="27"/>
      <c r="K10" s="32" t="str">
        <f>"135,0"</f>
        <v>135,0</v>
      </c>
      <c r="L10" s="33" t="str">
        <f>"86,0269"</f>
        <v>86,0269</v>
      </c>
      <c r="M10" s="25" t="s">
        <v>91</v>
      </c>
    </row>
    <row r="12" spans="1:13" ht="15" x14ac:dyDescent="0.2">
      <c r="A12" s="54" t="s">
        <v>107</v>
      </c>
      <c r="B12" s="54"/>
      <c r="C12" s="54"/>
      <c r="D12" s="54"/>
      <c r="E12" s="54"/>
      <c r="F12" s="54"/>
      <c r="G12" s="54"/>
      <c r="H12" s="54"/>
      <c r="I12" s="54"/>
      <c r="J12" s="54"/>
    </row>
    <row r="13" spans="1:13" x14ac:dyDescent="0.2">
      <c r="A13" s="19" t="s">
        <v>180</v>
      </c>
      <c r="B13" s="19" t="s">
        <v>181</v>
      </c>
      <c r="C13" s="19" t="s">
        <v>182</v>
      </c>
      <c r="D13" s="19" t="str">
        <f>"0,5723"</f>
        <v>0,5723</v>
      </c>
      <c r="E13" s="19" t="s">
        <v>183</v>
      </c>
      <c r="F13" s="19" t="s">
        <v>184</v>
      </c>
      <c r="G13" s="20" t="s">
        <v>185</v>
      </c>
      <c r="H13" s="20" t="s">
        <v>85</v>
      </c>
      <c r="I13" s="21"/>
      <c r="J13" s="21"/>
      <c r="K13" s="28" t="str">
        <f>"150,0"</f>
        <v>150,0</v>
      </c>
      <c r="L13" s="29" t="str">
        <f>"86,7035"</f>
        <v>86,7035</v>
      </c>
      <c r="M13" s="19" t="s">
        <v>186</v>
      </c>
    </row>
    <row r="14" spans="1:13" x14ac:dyDescent="0.2">
      <c r="A14" s="25" t="s">
        <v>188</v>
      </c>
      <c r="B14" s="25" t="s">
        <v>189</v>
      </c>
      <c r="C14" s="25" t="s">
        <v>190</v>
      </c>
      <c r="D14" s="25" t="str">
        <f>"0,5751"</f>
        <v>0,5751</v>
      </c>
      <c r="E14" s="25" t="s">
        <v>183</v>
      </c>
      <c r="F14" s="25" t="s">
        <v>184</v>
      </c>
      <c r="G14" s="26" t="s">
        <v>151</v>
      </c>
      <c r="H14" s="26" t="s">
        <v>85</v>
      </c>
      <c r="I14" s="26" t="s">
        <v>86</v>
      </c>
      <c r="J14" s="27"/>
      <c r="K14" s="32" t="str">
        <f>"160,0"</f>
        <v>160,0</v>
      </c>
      <c r="L14" s="33" t="str">
        <f>"92,0160"</f>
        <v>92,0160</v>
      </c>
      <c r="M14" s="25" t="s">
        <v>191</v>
      </c>
    </row>
    <row r="16" spans="1:13" ht="15" x14ac:dyDescent="0.2">
      <c r="E16" s="9" t="s">
        <v>28</v>
      </c>
      <c r="F16" s="34" t="s">
        <v>520</v>
      </c>
    </row>
    <row r="17" spans="1:6" ht="15" x14ac:dyDescent="0.2">
      <c r="E17" s="9" t="s">
        <v>29</v>
      </c>
      <c r="F17" s="34" t="s">
        <v>523</v>
      </c>
    </row>
    <row r="18" spans="1:6" ht="15" x14ac:dyDescent="0.2">
      <c r="E18" s="9" t="s">
        <v>30</v>
      </c>
      <c r="F18" s="34" t="s">
        <v>521</v>
      </c>
    </row>
    <row r="19" spans="1:6" ht="15" x14ac:dyDescent="0.2">
      <c r="E19" s="9" t="s">
        <v>31</v>
      </c>
      <c r="F19" s="34" t="s">
        <v>524</v>
      </c>
    </row>
    <row r="20" spans="1:6" ht="15" x14ac:dyDescent="0.2">
      <c r="E20" s="9" t="s">
        <v>31</v>
      </c>
      <c r="F20" s="34" t="s">
        <v>522</v>
      </c>
    </row>
    <row r="21" spans="1:6" ht="15" x14ac:dyDescent="0.2">
      <c r="E21" s="9"/>
    </row>
    <row r="22" spans="1:6" ht="15" x14ac:dyDescent="0.2">
      <c r="E22" s="9"/>
    </row>
    <row r="24" spans="1:6" ht="18" x14ac:dyDescent="0.25">
      <c r="A24" s="13" t="s">
        <v>32</v>
      </c>
      <c r="B24" s="13"/>
    </row>
    <row r="25" spans="1:6" ht="15" x14ac:dyDescent="0.2">
      <c r="A25" s="14" t="s">
        <v>120</v>
      </c>
      <c r="B25" s="14"/>
    </row>
    <row r="26" spans="1:6" ht="14.25" x14ac:dyDescent="0.2">
      <c r="A26" s="16"/>
      <c r="B26" s="17" t="s">
        <v>192</v>
      </c>
    </row>
    <row r="27" spans="1:6" ht="15" x14ac:dyDescent="0.2">
      <c r="A27" s="18" t="s">
        <v>35</v>
      </c>
      <c r="B27" s="18" t="s">
        <v>36</v>
      </c>
      <c r="C27" s="18" t="s">
        <v>37</v>
      </c>
      <c r="D27" s="18" t="s">
        <v>193</v>
      </c>
      <c r="E27" s="18" t="s">
        <v>39</v>
      </c>
    </row>
    <row r="28" spans="1:6" x14ac:dyDescent="0.2">
      <c r="A28" s="15" t="s">
        <v>179</v>
      </c>
      <c r="B28" s="4" t="s">
        <v>194</v>
      </c>
      <c r="C28" s="4" t="s">
        <v>123</v>
      </c>
      <c r="D28" s="4" t="s">
        <v>85</v>
      </c>
      <c r="E28" s="10" t="s">
        <v>195</v>
      </c>
    </row>
    <row r="30" spans="1:6" ht="14.25" x14ac:dyDescent="0.2">
      <c r="A30" s="16"/>
      <c r="B30" s="17" t="s">
        <v>113</v>
      </c>
    </row>
    <row r="31" spans="1:6" ht="15" x14ac:dyDescent="0.2">
      <c r="A31" s="18" t="s">
        <v>35</v>
      </c>
      <c r="B31" s="18" t="s">
        <v>36</v>
      </c>
      <c r="C31" s="18" t="s">
        <v>37</v>
      </c>
      <c r="D31" s="18" t="s">
        <v>193</v>
      </c>
      <c r="E31" s="18" t="s">
        <v>39</v>
      </c>
    </row>
    <row r="32" spans="1:6" x14ac:dyDescent="0.2">
      <c r="A32" s="15" t="s">
        <v>187</v>
      </c>
      <c r="B32" s="4" t="s">
        <v>113</v>
      </c>
      <c r="C32" s="4" t="s">
        <v>123</v>
      </c>
      <c r="D32" s="4" t="s">
        <v>86</v>
      </c>
      <c r="E32" s="10" t="s">
        <v>196</v>
      </c>
    </row>
    <row r="33" spans="1:5" x14ac:dyDescent="0.2">
      <c r="A33" s="15" t="s">
        <v>166</v>
      </c>
      <c r="B33" s="4" t="s">
        <v>113</v>
      </c>
      <c r="C33" s="4" t="s">
        <v>197</v>
      </c>
      <c r="D33" s="4" t="s">
        <v>96</v>
      </c>
      <c r="E33" s="10" t="s">
        <v>198</v>
      </c>
    </row>
    <row r="34" spans="1:5" x14ac:dyDescent="0.2">
      <c r="A34" s="15" t="s">
        <v>172</v>
      </c>
      <c r="B34" s="4" t="s">
        <v>113</v>
      </c>
      <c r="C34" s="4" t="s">
        <v>130</v>
      </c>
      <c r="D34" s="4" t="s">
        <v>96</v>
      </c>
      <c r="E34" s="10" t="s">
        <v>199</v>
      </c>
    </row>
    <row r="36" spans="1:5" ht="14.25" x14ac:dyDescent="0.2">
      <c r="A36" s="16"/>
      <c r="B36" s="17" t="s">
        <v>34</v>
      </c>
    </row>
    <row r="37" spans="1:5" ht="15" x14ac:dyDescent="0.2">
      <c r="A37" s="18" t="s">
        <v>35</v>
      </c>
      <c r="B37" s="18" t="s">
        <v>36</v>
      </c>
      <c r="C37" s="18" t="s">
        <v>37</v>
      </c>
      <c r="D37" s="18" t="s">
        <v>193</v>
      </c>
      <c r="E37" s="18" t="s">
        <v>39</v>
      </c>
    </row>
    <row r="38" spans="1:5" x14ac:dyDescent="0.2">
      <c r="A38" s="15" t="s">
        <v>172</v>
      </c>
      <c r="B38" s="4" t="s">
        <v>40</v>
      </c>
      <c r="C38" s="4" t="s">
        <v>130</v>
      </c>
      <c r="D38" s="4" t="s">
        <v>96</v>
      </c>
      <c r="E38" s="10" t="s">
        <v>200</v>
      </c>
    </row>
  </sheetData>
  <mergeCells count="14">
    <mergeCell ref="A8:J8"/>
    <mergeCell ref="A12:J12"/>
    <mergeCell ref="K3:K4"/>
    <mergeCell ref="L3:L4"/>
    <mergeCell ref="M3:M4"/>
    <mergeCell ref="A5:J5"/>
    <mergeCell ref="A1:M2"/>
    <mergeCell ref="A3:A4"/>
    <mergeCell ref="B3:B4"/>
    <mergeCell ref="C3:C4"/>
    <mergeCell ref="D3:D4"/>
    <mergeCell ref="E3:E4"/>
    <mergeCell ref="F3:F4"/>
    <mergeCell ref="G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E14" sqref="E14"/>
    </sheetView>
  </sheetViews>
  <sheetFormatPr defaultRowHeight="12.75" x14ac:dyDescent="0.2"/>
  <cols>
    <col min="1" max="1" width="26" style="4" bestFit="1" customWidth="1"/>
    <col min="2" max="2" width="28.5703125" style="4" bestFit="1" customWidth="1"/>
    <col min="3" max="3" width="15.5703125" style="4" bestFit="1" customWidth="1"/>
    <col min="4" max="4" width="11.85546875" style="4" bestFit="1" customWidth="1"/>
    <col min="5" max="5" width="22.7109375" style="4" bestFit="1" customWidth="1"/>
    <col min="6" max="6" width="24.7109375" style="4" bestFit="1" customWidth="1"/>
    <col min="7" max="7" width="5" style="3" customWidth="1"/>
    <col min="8" max="8" width="10.42578125" style="3" customWidth="1"/>
    <col min="9" max="9" width="7.85546875" style="10" bestFit="1" customWidth="1"/>
    <col min="10" max="10" width="7.5703125" style="2" bestFit="1" customWidth="1"/>
    <col min="11" max="11" width="17.85546875" style="4" bestFit="1" customWidth="1"/>
    <col min="12" max="16384" width="9.140625" style="3"/>
  </cols>
  <sheetData>
    <row r="1" spans="1:11" s="2" customFormat="1" ht="29.1" customHeight="1" x14ac:dyDescent="0.2">
      <c r="A1" s="39" t="s">
        <v>499</v>
      </c>
      <c r="B1" s="40"/>
      <c r="C1" s="40"/>
      <c r="D1" s="40"/>
      <c r="E1" s="40"/>
      <c r="F1" s="40"/>
      <c r="G1" s="40"/>
      <c r="H1" s="40"/>
      <c r="I1" s="40"/>
      <c r="J1" s="40"/>
      <c r="K1" s="41"/>
    </row>
    <row r="2" spans="1:11" s="2" customFormat="1" ht="62.1" customHeight="1" thickBot="1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4"/>
    </row>
    <row r="3" spans="1:11" s="1" customFormat="1" ht="12.75" customHeight="1" x14ac:dyDescent="0.2">
      <c r="A3" s="45" t="s">
        <v>0</v>
      </c>
      <c r="B3" s="47" t="s">
        <v>6</v>
      </c>
      <c r="C3" s="47" t="s">
        <v>10</v>
      </c>
      <c r="D3" s="49" t="s">
        <v>482</v>
      </c>
      <c r="E3" s="49" t="s">
        <v>4</v>
      </c>
      <c r="F3" s="49" t="s">
        <v>7</v>
      </c>
      <c r="G3" s="49" t="s">
        <v>500</v>
      </c>
      <c r="H3" s="49"/>
      <c r="I3" s="49" t="s">
        <v>494</v>
      </c>
      <c r="J3" s="49" t="s">
        <v>3</v>
      </c>
      <c r="K3" s="50" t="s">
        <v>2</v>
      </c>
    </row>
    <row r="4" spans="1:11" s="1" customFormat="1" ht="21" customHeight="1" thickBot="1" x14ac:dyDescent="0.25">
      <c r="A4" s="46"/>
      <c r="B4" s="48"/>
      <c r="C4" s="48"/>
      <c r="D4" s="48"/>
      <c r="E4" s="48"/>
      <c r="F4" s="48"/>
      <c r="G4" s="5" t="s">
        <v>8</v>
      </c>
      <c r="H4" s="5" t="s">
        <v>9</v>
      </c>
      <c r="I4" s="48"/>
      <c r="J4" s="48"/>
      <c r="K4" s="51"/>
    </row>
    <row r="5" spans="1:11" ht="15" x14ac:dyDescent="0.2">
      <c r="A5" s="52" t="s">
        <v>484</v>
      </c>
      <c r="B5" s="53"/>
      <c r="C5" s="53"/>
      <c r="D5" s="53"/>
      <c r="E5" s="53"/>
      <c r="F5" s="53"/>
      <c r="G5" s="53"/>
      <c r="H5" s="53"/>
    </row>
    <row r="6" spans="1:11" x14ac:dyDescent="0.2">
      <c r="A6" s="19" t="s">
        <v>502</v>
      </c>
      <c r="B6" s="19" t="s">
        <v>503</v>
      </c>
      <c r="C6" s="19" t="s">
        <v>504</v>
      </c>
      <c r="D6" s="19" t="str">
        <f>"1,0000"</f>
        <v>1,0000</v>
      </c>
      <c r="E6" s="19" t="s">
        <v>50</v>
      </c>
      <c r="F6" s="19" t="s">
        <v>51</v>
      </c>
      <c r="G6" s="20" t="s">
        <v>52</v>
      </c>
      <c r="H6" s="20" t="s">
        <v>505</v>
      </c>
      <c r="I6" s="28" t="str">
        <f>"2325,0"</f>
        <v>2325,0</v>
      </c>
      <c r="J6" s="29" t="str">
        <f>"38,8795"</f>
        <v>38,8795</v>
      </c>
      <c r="K6" s="19" t="s">
        <v>58</v>
      </c>
    </row>
    <row r="7" spans="1:11" x14ac:dyDescent="0.2">
      <c r="A7" s="25" t="s">
        <v>229</v>
      </c>
      <c r="B7" s="25" t="s">
        <v>230</v>
      </c>
      <c r="C7" s="25" t="s">
        <v>506</v>
      </c>
      <c r="D7" s="25" t="str">
        <f>"1,0000"</f>
        <v>1,0000</v>
      </c>
      <c r="E7" s="25" t="s">
        <v>20</v>
      </c>
      <c r="F7" s="25" t="s">
        <v>21</v>
      </c>
      <c r="G7" s="26" t="s">
        <v>52</v>
      </c>
      <c r="H7" s="26" t="s">
        <v>507</v>
      </c>
      <c r="I7" s="32" t="str">
        <f>"1800,0"</f>
        <v>1800,0</v>
      </c>
      <c r="J7" s="33" t="str">
        <f>"32,9067"</f>
        <v>32,9067</v>
      </c>
      <c r="K7" s="25" t="s">
        <v>91</v>
      </c>
    </row>
    <row r="9" spans="1:11" ht="15" x14ac:dyDescent="0.2">
      <c r="E9" s="9" t="s">
        <v>28</v>
      </c>
      <c r="F9" s="34" t="s">
        <v>520</v>
      </c>
    </row>
    <row r="10" spans="1:11" ht="15" x14ac:dyDescent="0.2">
      <c r="E10" s="9" t="s">
        <v>29</v>
      </c>
      <c r="F10" s="34" t="s">
        <v>523</v>
      </c>
    </row>
    <row r="11" spans="1:11" ht="15" x14ac:dyDescent="0.2">
      <c r="E11" s="9" t="s">
        <v>30</v>
      </c>
      <c r="F11" s="34" t="s">
        <v>521</v>
      </c>
    </row>
    <row r="12" spans="1:11" ht="15" x14ac:dyDescent="0.2">
      <c r="E12" s="9" t="s">
        <v>31</v>
      </c>
      <c r="F12" s="34" t="s">
        <v>524</v>
      </c>
    </row>
    <row r="13" spans="1:11" ht="15" x14ac:dyDescent="0.2">
      <c r="E13" s="9" t="s">
        <v>31</v>
      </c>
      <c r="F13" s="34" t="s">
        <v>522</v>
      </c>
    </row>
    <row r="14" spans="1:11" ht="15" x14ac:dyDescent="0.2">
      <c r="E14" s="9"/>
    </row>
    <row r="15" spans="1:11" ht="15" x14ac:dyDescent="0.2">
      <c r="E15" s="9"/>
    </row>
    <row r="17" spans="1:5" ht="18" x14ac:dyDescent="0.25">
      <c r="A17" s="13" t="s">
        <v>32</v>
      </c>
      <c r="B17" s="13"/>
    </row>
    <row r="18" spans="1:5" ht="15" x14ac:dyDescent="0.2">
      <c r="A18" s="14" t="s">
        <v>33</v>
      </c>
      <c r="B18" s="14"/>
    </row>
    <row r="19" spans="1:5" ht="14.25" x14ac:dyDescent="0.2">
      <c r="A19" s="16"/>
      <c r="B19" s="17" t="s">
        <v>113</v>
      </c>
    </row>
    <row r="20" spans="1:5" ht="15" x14ac:dyDescent="0.2">
      <c r="A20" s="18" t="s">
        <v>35</v>
      </c>
      <c r="B20" s="18" t="s">
        <v>36</v>
      </c>
      <c r="C20" s="18" t="s">
        <v>37</v>
      </c>
      <c r="D20" s="18" t="s">
        <v>193</v>
      </c>
      <c r="E20" s="18" t="s">
        <v>490</v>
      </c>
    </row>
    <row r="21" spans="1:5" x14ac:dyDescent="0.2">
      <c r="A21" s="15" t="s">
        <v>501</v>
      </c>
      <c r="B21" s="4" t="s">
        <v>113</v>
      </c>
      <c r="C21" s="4" t="s">
        <v>491</v>
      </c>
      <c r="D21" s="4" t="s">
        <v>508</v>
      </c>
      <c r="E21" s="10" t="s">
        <v>509</v>
      </c>
    </row>
    <row r="23" spans="1:5" ht="14.25" x14ac:dyDescent="0.2">
      <c r="A23" s="16"/>
      <c r="B23" s="17" t="s">
        <v>34</v>
      </c>
    </row>
    <row r="24" spans="1:5" ht="15" x14ac:dyDescent="0.2">
      <c r="A24" s="18" t="s">
        <v>35</v>
      </c>
      <c r="B24" s="18" t="s">
        <v>36</v>
      </c>
      <c r="C24" s="18" t="s">
        <v>37</v>
      </c>
      <c r="D24" s="18" t="s">
        <v>193</v>
      </c>
      <c r="E24" s="18" t="s">
        <v>490</v>
      </c>
    </row>
    <row r="25" spans="1:5" x14ac:dyDescent="0.2">
      <c r="A25" s="15" t="s">
        <v>228</v>
      </c>
      <c r="B25" s="4" t="s">
        <v>305</v>
      </c>
      <c r="C25" s="4" t="s">
        <v>491</v>
      </c>
      <c r="D25" s="4" t="s">
        <v>510</v>
      </c>
      <c r="E25" s="10" t="s">
        <v>511</v>
      </c>
    </row>
  </sheetData>
  <mergeCells count="12">
    <mergeCell ref="A5:H5"/>
    <mergeCell ref="A1:K2"/>
    <mergeCell ref="A3:A4"/>
    <mergeCell ref="B3:B4"/>
    <mergeCell ref="C3:C4"/>
    <mergeCell ref="D3:D4"/>
    <mergeCell ref="E3:E4"/>
    <mergeCell ref="F3:F4"/>
    <mergeCell ref="G3:H3"/>
    <mergeCell ref="I3:I4"/>
    <mergeCell ref="J3:J4"/>
    <mergeCell ref="K3:K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activeCell="E19" sqref="E19"/>
    </sheetView>
  </sheetViews>
  <sheetFormatPr defaultRowHeight="12.75" x14ac:dyDescent="0.2"/>
  <cols>
    <col min="1" max="1" width="26" style="4" bestFit="1" customWidth="1"/>
    <col min="2" max="2" width="27.7109375" style="4" bestFit="1" customWidth="1"/>
    <col min="3" max="3" width="15.5703125" style="4" bestFit="1" customWidth="1"/>
    <col min="4" max="4" width="9.28515625" style="4" bestFit="1" customWidth="1"/>
    <col min="5" max="5" width="22.7109375" style="4" bestFit="1" customWidth="1"/>
    <col min="6" max="6" width="21.85546875" style="4" bestFit="1" customWidth="1"/>
    <col min="7" max="9" width="5.5703125" style="3" customWidth="1"/>
    <col min="10" max="10" width="4.85546875" style="3" customWidth="1"/>
    <col min="11" max="12" width="4.5703125" style="3" customWidth="1"/>
    <col min="13" max="13" width="5.5703125" style="3" customWidth="1"/>
    <col min="14" max="14" width="4.85546875" style="3" customWidth="1"/>
    <col min="15" max="17" width="5.5703125" style="3" customWidth="1"/>
    <col min="18" max="18" width="4.85546875" style="3" customWidth="1"/>
    <col min="19" max="19" width="7.85546875" style="10" bestFit="1" customWidth="1"/>
    <col min="20" max="20" width="8.5703125" style="2" bestFit="1" customWidth="1"/>
    <col min="21" max="21" width="16.42578125" style="4" bestFit="1" customWidth="1"/>
    <col min="22" max="16384" width="9.140625" style="3"/>
  </cols>
  <sheetData>
    <row r="1" spans="1:21" s="2" customFormat="1" ht="29.1" customHeight="1" x14ac:dyDescent="0.2">
      <c r="A1" s="39" t="s">
        <v>137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1"/>
    </row>
    <row r="2" spans="1:21" s="2" customFormat="1" ht="62.1" customHeight="1" thickBot="1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4"/>
    </row>
    <row r="3" spans="1:21" s="1" customFormat="1" ht="12.75" customHeight="1" x14ac:dyDescent="0.2">
      <c r="A3" s="45" t="s">
        <v>0</v>
      </c>
      <c r="B3" s="47" t="s">
        <v>6</v>
      </c>
      <c r="C3" s="47" t="s">
        <v>10</v>
      </c>
      <c r="D3" s="49" t="s">
        <v>11</v>
      </c>
      <c r="E3" s="49" t="s">
        <v>4</v>
      </c>
      <c r="F3" s="49" t="s">
        <v>7</v>
      </c>
      <c r="G3" s="49" t="s">
        <v>12</v>
      </c>
      <c r="H3" s="49"/>
      <c r="I3" s="49"/>
      <c r="J3" s="49"/>
      <c r="K3" s="49" t="s">
        <v>13</v>
      </c>
      <c r="L3" s="49"/>
      <c r="M3" s="49"/>
      <c r="N3" s="49"/>
      <c r="O3" s="49" t="s">
        <v>14</v>
      </c>
      <c r="P3" s="49"/>
      <c r="Q3" s="49"/>
      <c r="R3" s="49"/>
      <c r="S3" s="49" t="s">
        <v>1</v>
      </c>
      <c r="T3" s="49" t="s">
        <v>3</v>
      </c>
      <c r="U3" s="50" t="s">
        <v>2</v>
      </c>
    </row>
    <row r="4" spans="1:21" s="1" customFormat="1" ht="21" customHeight="1" thickBot="1" x14ac:dyDescent="0.25">
      <c r="A4" s="46"/>
      <c r="B4" s="48"/>
      <c r="C4" s="48"/>
      <c r="D4" s="48"/>
      <c r="E4" s="48"/>
      <c r="F4" s="48"/>
      <c r="G4" s="5">
        <v>1</v>
      </c>
      <c r="H4" s="5">
        <v>2</v>
      </c>
      <c r="I4" s="5">
        <v>3</v>
      </c>
      <c r="J4" s="5" t="s">
        <v>5</v>
      </c>
      <c r="K4" s="5">
        <v>1</v>
      </c>
      <c r="L4" s="5">
        <v>2</v>
      </c>
      <c r="M4" s="5">
        <v>3</v>
      </c>
      <c r="N4" s="5" t="s">
        <v>5</v>
      </c>
      <c r="O4" s="5">
        <v>1</v>
      </c>
      <c r="P4" s="5">
        <v>2</v>
      </c>
      <c r="Q4" s="5">
        <v>3</v>
      </c>
      <c r="R4" s="5" t="s">
        <v>5</v>
      </c>
      <c r="S4" s="48"/>
      <c r="T4" s="48"/>
      <c r="U4" s="51"/>
    </row>
    <row r="5" spans="1:21" ht="15" x14ac:dyDescent="0.2">
      <c r="A5" s="52" t="s">
        <v>138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21" x14ac:dyDescent="0.2">
      <c r="A6" s="6" t="s">
        <v>140</v>
      </c>
      <c r="B6" s="6" t="s">
        <v>141</v>
      </c>
      <c r="C6" s="6" t="s">
        <v>142</v>
      </c>
      <c r="D6" s="6" t="str">
        <f>"1,0041"</f>
        <v>1,0041</v>
      </c>
      <c r="E6" s="6" t="s">
        <v>20</v>
      </c>
      <c r="F6" s="6" t="s">
        <v>21</v>
      </c>
      <c r="G6" s="8" t="s">
        <v>75</v>
      </c>
      <c r="H6" s="7" t="s">
        <v>52</v>
      </c>
      <c r="I6" s="7" t="s">
        <v>52</v>
      </c>
      <c r="J6" s="7"/>
      <c r="K6" s="8" t="s">
        <v>143</v>
      </c>
      <c r="L6" s="8" t="s">
        <v>144</v>
      </c>
      <c r="M6" s="7" t="s">
        <v>145</v>
      </c>
      <c r="N6" s="7"/>
      <c r="O6" s="8" t="s">
        <v>22</v>
      </c>
      <c r="P6" s="8" t="s">
        <v>57</v>
      </c>
      <c r="Q6" s="7" t="s">
        <v>68</v>
      </c>
      <c r="R6" s="7"/>
      <c r="S6" s="11" t="str">
        <f>"217,5"</f>
        <v>217,5</v>
      </c>
      <c r="T6" s="12" t="str">
        <f>"218,3917"</f>
        <v>218,3917</v>
      </c>
      <c r="U6" s="6" t="s">
        <v>27</v>
      </c>
    </row>
    <row r="8" spans="1:21" ht="15" x14ac:dyDescent="0.2">
      <c r="A8" s="54" t="s">
        <v>69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</row>
    <row r="9" spans="1:21" x14ac:dyDescent="0.2">
      <c r="A9" s="6" t="s">
        <v>147</v>
      </c>
      <c r="B9" s="6" t="s">
        <v>148</v>
      </c>
      <c r="C9" s="6" t="s">
        <v>149</v>
      </c>
      <c r="D9" s="6" t="str">
        <f>"0,6358"</f>
        <v>0,6358</v>
      </c>
      <c r="E9" s="6" t="s">
        <v>20</v>
      </c>
      <c r="F9" s="6" t="s">
        <v>21</v>
      </c>
      <c r="G9" s="8" t="s">
        <v>22</v>
      </c>
      <c r="H9" s="8" t="s">
        <v>57</v>
      </c>
      <c r="I9" s="7" t="s">
        <v>150</v>
      </c>
      <c r="J9" s="7"/>
      <c r="K9" s="8" t="s">
        <v>65</v>
      </c>
      <c r="L9" s="8" t="s">
        <v>74</v>
      </c>
      <c r="M9" s="7" t="s">
        <v>97</v>
      </c>
      <c r="N9" s="7"/>
      <c r="O9" s="8" t="s">
        <v>150</v>
      </c>
      <c r="P9" s="8" t="s">
        <v>151</v>
      </c>
      <c r="Q9" s="8" t="s">
        <v>85</v>
      </c>
      <c r="R9" s="7"/>
      <c r="S9" s="11" t="str">
        <f>"357,5"</f>
        <v>357,5</v>
      </c>
      <c r="T9" s="12" t="str">
        <f>"227,2985"</f>
        <v>227,2985</v>
      </c>
      <c r="U9" s="6" t="s">
        <v>27</v>
      </c>
    </row>
    <row r="11" spans="1:21" ht="15" x14ac:dyDescent="0.2">
      <c r="A11" s="54" t="s">
        <v>107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</row>
    <row r="12" spans="1:21" x14ac:dyDescent="0.2">
      <c r="A12" s="6" t="s">
        <v>153</v>
      </c>
      <c r="B12" s="6" t="s">
        <v>154</v>
      </c>
      <c r="C12" s="6" t="s">
        <v>155</v>
      </c>
      <c r="D12" s="6" t="str">
        <f>"0,5613"</f>
        <v>0,5613</v>
      </c>
      <c r="E12" s="6" t="s">
        <v>20</v>
      </c>
      <c r="F12" s="6" t="s">
        <v>21</v>
      </c>
      <c r="G12" s="8" t="s">
        <v>64</v>
      </c>
      <c r="H12" s="8" t="s">
        <v>156</v>
      </c>
      <c r="I12" s="7" t="s">
        <v>22</v>
      </c>
      <c r="J12" s="7"/>
      <c r="K12" s="8" t="s">
        <v>55</v>
      </c>
      <c r="L12" s="8" t="s">
        <v>56</v>
      </c>
      <c r="M12" s="8" t="s">
        <v>112</v>
      </c>
      <c r="N12" s="7"/>
      <c r="O12" s="8" t="s">
        <v>22</v>
      </c>
      <c r="P12" s="8" t="s">
        <v>57</v>
      </c>
      <c r="Q12" s="8" t="s">
        <v>103</v>
      </c>
      <c r="R12" s="7"/>
      <c r="S12" s="11" t="str">
        <f>"277,5"</f>
        <v>277,5</v>
      </c>
      <c r="T12" s="12" t="str">
        <f>"168,2216"</f>
        <v>168,2216</v>
      </c>
      <c r="U12" s="6" t="s">
        <v>27</v>
      </c>
    </row>
    <row r="14" spans="1:21" ht="15" x14ac:dyDescent="0.2">
      <c r="E14" s="9" t="s">
        <v>28</v>
      </c>
      <c r="F14" s="34" t="s">
        <v>520</v>
      </c>
    </row>
    <row r="15" spans="1:21" ht="15" x14ac:dyDescent="0.2">
      <c r="E15" s="9" t="s">
        <v>29</v>
      </c>
      <c r="F15" s="34" t="s">
        <v>523</v>
      </c>
    </row>
    <row r="16" spans="1:21" ht="15" x14ac:dyDescent="0.2">
      <c r="E16" s="9" t="s">
        <v>30</v>
      </c>
      <c r="F16" s="34" t="s">
        <v>521</v>
      </c>
    </row>
    <row r="17" spans="1:6" ht="15" x14ac:dyDescent="0.2">
      <c r="E17" s="9" t="s">
        <v>31</v>
      </c>
      <c r="F17" s="34" t="s">
        <v>524</v>
      </c>
    </row>
    <row r="18" spans="1:6" ht="15" x14ac:dyDescent="0.2">
      <c r="E18" s="9" t="s">
        <v>31</v>
      </c>
      <c r="F18" s="34" t="s">
        <v>522</v>
      </c>
    </row>
    <row r="19" spans="1:6" ht="15" x14ac:dyDescent="0.2">
      <c r="E19" s="9"/>
    </row>
    <row r="20" spans="1:6" ht="15" x14ac:dyDescent="0.2">
      <c r="E20" s="9"/>
    </row>
    <row r="22" spans="1:6" ht="18" x14ac:dyDescent="0.25">
      <c r="A22" s="13" t="s">
        <v>32</v>
      </c>
      <c r="B22" s="13"/>
    </row>
    <row r="23" spans="1:6" ht="15" x14ac:dyDescent="0.2">
      <c r="A23" s="14" t="s">
        <v>33</v>
      </c>
      <c r="B23" s="14"/>
    </row>
    <row r="24" spans="1:6" ht="14.25" x14ac:dyDescent="0.2">
      <c r="A24" s="16"/>
      <c r="B24" s="17" t="s">
        <v>113</v>
      </c>
    </row>
    <row r="25" spans="1:6" ht="15" x14ac:dyDescent="0.2">
      <c r="A25" s="18" t="s">
        <v>35</v>
      </c>
      <c r="B25" s="18" t="s">
        <v>36</v>
      </c>
      <c r="C25" s="18" t="s">
        <v>37</v>
      </c>
      <c r="D25" s="18" t="s">
        <v>38</v>
      </c>
      <c r="E25" s="18" t="s">
        <v>39</v>
      </c>
    </row>
    <row r="26" spans="1:6" x14ac:dyDescent="0.2">
      <c r="A26" s="15" t="s">
        <v>139</v>
      </c>
      <c r="B26" s="4" t="s">
        <v>113</v>
      </c>
      <c r="C26" s="4" t="s">
        <v>157</v>
      </c>
      <c r="D26" s="4" t="s">
        <v>158</v>
      </c>
      <c r="E26" s="10" t="s">
        <v>159</v>
      </c>
    </row>
    <row r="29" spans="1:6" ht="15" x14ac:dyDescent="0.2">
      <c r="A29" s="14" t="s">
        <v>120</v>
      </c>
      <c r="B29" s="14"/>
    </row>
    <row r="30" spans="1:6" ht="14.25" x14ac:dyDescent="0.2">
      <c r="A30" s="16"/>
      <c r="B30" s="17" t="s">
        <v>121</v>
      </c>
    </row>
    <row r="31" spans="1:6" ht="15" x14ac:dyDescent="0.2">
      <c r="A31" s="18" t="s">
        <v>35</v>
      </c>
      <c r="B31" s="18" t="s">
        <v>36</v>
      </c>
      <c r="C31" s="18" t="s">
        <v>37</v>
      </c>
      <c r="D31" s="18" t="s">
        <v>38</v>
      </c>
      <c r="E31" s="18" t="s">
        <v>39</v>
      </c>
    </row>
    <row r="32" spans="1:6" x14ac:dyDescent="0.2">
      <c r="A32" s="15" t="s">
        <v>152</v>
      </c>
      <c r="B32" s="4" t="s">
        <v>126</v>
      </c>
      <c r="C32" s="4" t="s">
        <v>123</v>
      </c>
      <c r="D32" s="4" t="s">
        <v>160</v>
      </c>
      <c r="E32" s="10" t="s">
        <v>161</v>
      </c>
    </row>
    <row r="34" spans="1:5" ht="14.25" x14ac:dyDescent="0.2">
      <c r="A34" s="16"/>
      <c r="B34" s="17" t="s">
        <v>113</v>
      </c>
    </row>
    <row r="35" spans="1:5" ht="15" x14ac:dyDescent="0.2">
      <c r="A35" s="18" t="s">
        <v>35</v>
      </c>
      <c r="B35" s="18" t="s">
        <v>36</v>
      </c>
      <c r="C35" s="18" t="s">
        <v>37</v>
      </c>
      <c r="D35" s="18" t="s">
        <v>38</v>
      </c>
      <c r="E35" s="18" t="s">
        <v>39</v>
      </c>
    </row>
    <row r="36" spans="1:5" x14ac:dyDescent="0.2">
      <c r="A36" s="15" t="s">
        <v>146</v>
      </c>
      <c r="B36" s="4" t="s">
        <v>113</v>
      </c>
      <c r="C36" s="4" t="s">
        <v>127</v>
      </c>
      <c r="D36" s="4" t="s">
        <v>162</v>
      </c>
      <c r="E36" s="10" t="s">
        <v>163</v>
      </c>
    </row>
  </sheetData>
  <mergeCells count="16">
    <mergeCell ref="A8:R8"/>
    <mergeCell ref="A11:R11"/>
    <mergeCell ref="S3:S4"/>
    <mergeCell ref="T3:T4"/>
    <mergeCell ref="U3:U4"/>
    <mergeCell ref="A5:R5"/>
    <mergeCell ref="A1:U2"/>
    <mergeCell ref="A3:A4"/>
    <mergeCell ref="B3:B4"/>
    <mergeCell ref="C3:C4"/>
    <mergeCell ref="D3:D4"/>
    <mergeCell ref="E3:E4"/>
    <mergeCell ref="F3:F4"/>
    <mergeCell ref="G3:J3"/>
    <mergeCell ref="K3:N3"/>
    <mergeCell ref="O3:R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workbookViewId="0">
      <selection activeCell="E27" sqref="E27"/>
    </sheetView>
  </sheetViews>
  <sheetFormatPr defaultRowHeight="12.75" x14ac:dyDescent="0.2"/>
  <cols>
    <col min="1" max="1" width="26" style="4" bestFit="1" customWidth="1"/>
    <col min="2" max="2" width="27.7109375" style="4" bestFit="1" customWidth="1"/>
    <col min="3" max="3" width="15.5703125" style="4" bestFit="1" customWidth="1"/>
    <col min="4" max="4" width="9.28515625" style="4" bestFit="1" customWidth="1"/>
    <col min="5" max="5" width="22.7109375" style="4" bestFit="1" customWidth="1"/>
    <col min="6" max="6" width="24.7109375" style="4" bestFit="1" customWidth="1"/>
    <col min="7" max="9" width="5.5703125" style="3" customWidth="1"/>
    <col min="10" max="10" width="4.85546875" style="3" customWidth="1"/>
    <col min="11" max="13" width="5.5703125" style="3" customWidth="1"/>
    <col min="14" max="14" width="4.85546875" style="3" customWidth="1"/>
    <col min="15" max="17" width="5.5703125" style="3" customWidth="1"/>
    <col min="18" max="18" width="4.85546875" style="3" customWidth="1"/>
    <col min="19" max="19" width="7.85546875" style="10" bestFit="1" customWidth="1"/>
    <col min="20" max="20" width="8.5703125" style="2" bestFit="1" customWidth="1"/>
    <col min="21" max="21" width="17.85546875" style="4" bestFit="1" customWidth="1"/>
    <col min="22" max="16384" width="9.140625" style="3"/>
  </cols>
  <sheetData>
    <row r="1" spans="1:21" s="2" customFormat="1" ht="29.1" customHeight="1" x14ac:dyDescent="0.2">
      <c r="A1" s="39" t="s">
        <v>44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1"/>
    </row>
    <row r="2" spans="1:21" s="2" customFormat="1" ht="62.1" customHeight="1" thickBot="1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4"/>
    </row>
    <row r="3" spans="1:21" s="1" customFormat="1" ht="12.75" customHeight="1" x14ac:dyDescent="0.2">
      <c r="A3" s="45" t="s">
        <v>0</v>
      </c>
      <c r="B3" s="47" t="s">
        <v>6</v>
      </c>
      <c r="C3" s="47" t="s">
        <v>10</v>
      </c>
      <c r="D3" s="49" t="s">
        <v>11</v>
      </c>
      <c r="E3" s="49" t="s">
        <v>4</v>
      </c>
      <c r="F3" s="49" t="s">
        <v>7</v>
      </c>
      <c r="G3" s="49" t="s">
        <v>12</v>
      </c>
      <c r="H3" s="49"/>
      <c r="I3" s="49"/>
      <c r="J3" s="49"/>
      <c r="K3" s="49" t="s">
        <v>13</v>
      </c>
      <c r="L3" s="49"/>
      <c r="M3" s="49"/>
      <c r="N3" s="49"/>
      <c r="O3" s="49" t="s">
        <v>14</v>
      </c>
      <c r="P3" s="49"/>
      <c r="Q3" s="49"/>
      <c r="R3" s="49"/>
      <c r="S3" s="49" t="s">
        <v>1</v>
      </c>
      <c r="T3" s="49" t="s">
        <v>3</v>
      </c>
      <c r="U3" s="50" t="s">
        <v>2</v>
      </c>
    </row>
    <row r="4" spans="1:21" s="1" customFormat="1" ht="21" customHeight="1" thickBot="1" x14ac:dyDescent="0.25">
      <c r="A4" s="46"/>
      <c r="B4" s="48"/>
      <c r="C4" s="48"/>
      <c r="D4" s="48"/>
      <c r="E4" s="48"/>
      <c r="F4" s="48"/>
      <c r="G4" s="5">
        <v>1</v>
      </c>
      <c r="H4" s="5">
        <v>2</v>
      </c>
      <c r="I4" s="5">
        <v>3</v>
      </c>
      <c r="J4" s="5" t="s">
        <v>5</v>
      </c>
      <c r="K4" s="5">
        <v>1</v>
      </c>
      <c r="L4" s="5">
        <v>2</v>
      </c>
      <c r="M4" s="5">
        <v>3</v>
      </c>
      <c r="N4" s="5" t="s">
        <v>5</v>
      </c>
      <c r="O4" s="5">
        <v>1</v>
      </c>
      <c r="P4" s="5">
        <v>2</v>
      </c>
      <c r="Q4" s="5">
        <v>3</v>
      </c>
      <c r="R4" s="5" t="s">
        <v>5</v>
      </c>
      <c r="S4" s="48"/>
      <c r="T4" s="48"/>
      <c r="U4" s="51"/>
    </row>
    <row r="5" spans="1:21" ht="15" x14ac:dyDescent="0.2">
      <c r="A5" s="52" t="s">
        <v>45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21" x14ac:dyDescent="0.2">
      <c r="A6" s="6" t="s">
        <v>47</v>
      </c>
      <c r="B6" s="6" t="s">
        <v>48</v>
      </c>
      <c r="C6" s="6" t="s">
        <v>49</v>
      </c>
      <c r="D6" s="6" t="str">
        <f>"0,9140"</f>
        <v>0,9140</v>
      </c>
      <c r="E6" s="6" t="s">
        <v>50</v>
      </c>
      <c r="F6" s="6" t="s">
        <v>51</v>
      </c>
      <c r="G6" s="8" t="s">
        <v>52</v>
      </c>
      <c r="H6" s="8" t="s">
        <v>53</v>
      </c>
      <c r="I6" s="8" t="s">
        <v>54</v>
      </c>
      <c r="J6" s="7"/>
      <c r="K6" s="8" t="s">
        <v>23</v>
      </c>
      <c r="L6" s="8" t="s">
        <v>55</v>
      </c>
      <c r="M6" s="7" t="s">
        <v>56</v>
      </c>
      <c r="N6" s="7"/>
      <c r="O6" s="8" t="s">
        <v>22</v>
      </c>
      <c r="P6" s="7" t="s">
        <v>57</v>
      </c>
      <c r="Q6" s="7" t="s">
        <v>57</v>
      </c>
      <c r="R6" s="7"/>
      <c r="S6" s="11" t="str">
        <f>"242,5"</f>
        <v>242,5</v>
      </c>
      <c r="T6" s="12" t="str">
        <f>"221,6450"</f>
        <v>221,6450</v>
      </c>
      <c r="U6" s="6" t="s">
        <v>58</v>
      </c>
    </row>
    <row r="8" spans="1:21" ht="15" x14ac:dyDescent="0.2">
      <c r="A8" s="54" t="s">
        <v>59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</row>
    <row r="9" spans="1:21" x14ac:dyDescent="0.2">
      <c r="A9" s="6" t="s">
        <v>61</v>
      </c>
      <c r="B9" s="6" t="s">
        <v>62</v>
      </c>
      <c r="C9" s="6" t="s">
        <v>63</v>
      </c>
      <c r="D9" s="6" t="str">
        <f>"0,8100"</f>
        <v>0,8100</v>
      </c>
      <c r="E9" s="6" t="s">
        <v>50</v>
      </c>
      <c r="F9" s="6" t="s">
        <v>51</v>
      </c>
      <c r="G9" s="8" t="s">
        <v>64</v>
      </c>
      <c r="H9" s="8" t="s">
        <v>65</v>
      </c>
      <c r="I9" s="8" t="s">
        <v>66</v>
      </c>
      <c r="J9" s="7"/>
      <c r="K9" s="8" t="s">
        <v>25</v>
      </c>
      <c r="L9" s="7" t="s">
        <v>67</v>
      </c>
      <c r="M9" s="7" t="s">
        <v>67</v>
      </c>
      <c r="N9" s="7"/>
      <c r="O9" s="8" t="s">
        <v>22</v>
      </c>
      <c r="P9" s="8" t="s">
        <v>57</v>
      </c>
      <c r="Q9" s="7" t="s">
        <v>68</v>
      </c>
      <c r="R9" s="7"/>
      <c r="S9" s="11" t="str">
        <f>"272,5"</f>
        <v>272,5</v>
      </c>
      <c r="T9" s="12" t="str">
        <f>"220,7250"</f>
        <v>220,7250</v>
      </c>
      <c r="U9" s="6" t="s">
        <v>58</v>
      </c>
    </row>
    <row r="11" spans="1:21" ht="15" x14ac:dyDescent="0.2">
      <c r="A11" s="54" t="s">
        <v>69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</row>
    <row r="12" spans="1:21" x14ac:dyDescent="0.2">
      <c r="A12" s="6" t="s">
        <v>71</v>
      </c>
      <c r="B12" s="6" t="s">
        <v>72</v>
      </c>
      <c r="C12" s="6" t="s">
        <v>73</v>
      </c>
      <c r="D12" s="6" t="str">
        <f>"0,6248"</f>
        <v>0,6248</v>
      </c>
      <c r="E12" s="6" t="s">
        <v>50</v>
      </c>
      <c r="F12" s="6" t="s">
        <v>51</v>
      </c>
      <c r="G12" s="8" t="s">
        <v>64</v>
      </c>
      <c r="H12" s="8" t="s">
        <v>65</v>
      </c>
      <c r="I12" s="8" t="s">
        <v>74</v>
      </c>
      <c r="J12" s="7"/>
      <c r="K12" s="7" t="s">
        <v>25</v>
      </c>
      <c r="L12" s="8" t="s">
        <v>25</v>
      </c>
      <c r="M12" s="8" t="s">
        <v>75</v>
      </c>
      <c r="N12" s="7"/>
      <c r="O12" s="8" t="s">
        <v>74</v>
      </c>
      <c r="P12" s="8" t="s">
        <v>57</v>
      </c>
      <c r="Q12" s="8" t="s">
        <v>76</v>
      </c>
      <c r="R12" s="7"/>
      <c r="S12" s="11" t="str">
        <f>"285,0"</f>
        <v>285,0</v>
      </c>
      <c r="T12" s="12" t="str">
        <f>"192,3288"</f>
        <v>192,3288</v>
      </c>
      <c r="U12" s="6" t="s">
        <v>58</v>
      </c>
    </row>
    <row r="14" spans="1:21" ht="15" x14ac:dyDescent="0.2">
      <c r="A14" s="54" t="s">
        <v>77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</row>
    <row r="15" spans="1:21" x14ac:dyDescent="0.2">
      <c r="A15" s="19" t="s">
        <v>79</v>
      </c>
      <c r="B15" s="19" t="s">
        <v>80</v>
      </c>
      <c r="C15" s="19" t="s">
        <v>81</v>
      </c>
      <c r="D15" s="19" t="str">
        <f>"0,5877"</f>
        <v>0,5877</v>
      </c>
      <c r="E15" s="19" t="s">
        <v>82</v>
      </c>
      <c r="F15" s="19" t="s">
        <v>21</v>
      </c>
      <c r="G15" s="20" t="s">
        <v>83</v>
      </c>
      <c r="H15" s="21" t="s">
        <v>84</v>
      </c>
      <c r="I15" s="20" t="s">
        <v>84</v>
      </c>
      <c r="J15" s="21"/>
      <c r="K15" s="20" t="s">
        <v>85</v>
      </c>
      <c r="L15" s="20" t="s">
        <v>86</v>
      </c>
      <c r="M15" s="20" t="s">
        <v>87</v>
      </c>
      <c r="N15" s="21"/>
      <c r="O15" s="20" t="s">
        <v>88</v>
      </c>
      <c r="P15" s="20" t="s">
        <v>89</v>
      </c>
      <c r="Q15" s="20" t="s">
        <v>90</v>
      </c>
      <c r="R15" s="21"/>
      <c r="S15" s="28" t="str">
        <f>"610,0"</f>
        <v>610,0</v>
      </c>
      <c r="T15" s="29" t="str">
        <f>"358,4970"</f>
        <v>358,4970</v>
      </c>
      <c r="U15" s="19" t="s">
        <v>91</v>
      </c>
    </row>
    <row r="16" spans="1:21" x14ac:dyDescent="0.2">
      <c r="A16" s="22" t="s">
        <v>93</v>
      </c>
      <c r="B16" s="22" t="s">
        <v>94</v>
      </c>
      <c r="C16" s="22" t="s">
        <v>95</v>
      </c>
      <c r="D16" s="22" t="str">
        <f>"0,5950"</f>
        <v>0,5950</v>
      </c>
      <c r="E16" s="22" t="s">
        <v>20</v>
      </c>
      <c r="F16" s="22" t="s">
        <v>21</v>
      </c>
      <c r="G16" s="23" t="s">
        <v>96</v>
      </c>
      <c r="H16" s="23" t="s">
        <v>85</v>
      </c>
      <c r="I16" s="24" t="s">
        <v>85</v>
      </c>
      <c r="J16" s="23"/>
      <c r="K16" s="24" t="s">
        <v>66</v>
      </c>
      <c r="L16" s="24" t="s">
        <v>22</v>
      </c>
      <c r="M16" s="23" t="s">
        <v>97</v>
      </c>
      <c r="N16" s="23"/>
      <c r="O16" s="24" t="s">
        <v>84</v>
      </c>
      <c r="P16" s="23" t="s">
        <v>98</v>
      </c>
      <c r="Q16" s="24" t="s">
        <v>98</v>
      </c>
      <c r="R16" s="23"/>
      <c r="S16" s="30" t="str">
        <f>"450,0"</f>
        <v>450,0</v>
      </c>
      <c r="T16" s="31" t="str">
        <f>"267,7275"</f>
        <v>267,7275</v>
      </c>
      <c r="U16" s="22" t="s">
        <v>27</v>
      </c>
    </row>
    <row r="17" spans="1:21" x14ac:dyDescent="0.2">
      <c r="A17" s="25" t="s">
        <v>100</v>
      </c>
      <c r="B17" s="25" t="s">
        <v>101</v>
      </c>
      <c r="C17" s="25" t="s">
        <v>102</v>
      </c>
      <c r="D17" s="25" t="str">
        <f>"0,6009"</f>
        <v>0,6009</v>
      </c>
      <c r="E17" s="25" t="s">
        <v>50</v>
      </c>
      <c r="F17" s="25" t="s">
        <v>51</v>
      </c>
      <c r="G17" s="26" t="s">
        <v>103</v>
      </c>
      <c r="H17" s="26" t="s">
        <v>104</v>
      </c>
      <c r="I17" s="27"/>
      <c r="J17" s="27"/>
      <c r="K17" s="27" t="s">
        <v>26</v>
      </c>
      <c r="L17" s="26" t="s">
        <v>26</v>
      </c>
      <c r="M17" s="26" t="s">
        <v>105</v>
      </c>
      <c r="N17" s="27"/>
      <c r="O17" s="26" t="s">
        <v>85</v>
      </c>
      <c r="P17" s="26" t="s">
        <v>86</v>
      </c>
      <c r="Q17" s="26" t="s">
        <v>106</v>
      </c>
      <c r="R17" s="27"/>
      <c r="S17" s="32" t="str">
        <f>"407,5"</f>
        <v>407,5</v>
      </c>
      <c r="T17" s="33" t="str">
        <f>"244,8667"</f>
        <v>244,8667</v>
      </c>
      <c r="U17" s="25" t="s">
        <v>58</v>
      </c>
    </row>
    <row r="19" spans="1:21" ht="15" x14ac:dyDescent="0.2">
      <c r="A19" s="54" t="s">
        <v>107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</row>
    <row r="20" spans="1:21" x14ac:dyDescent="0.2">
      <c r="A20" s="6" t="s">
        <v>109</v>
      </c>
      <c r="B20" s="6" t="s">
        <v>110</v>
      </c>
      <c r="C20" s="6" t="s">
        <v>111</v>
      </c>
      <c r="D20" s="6" t="str">
        <f>"0,5630"</f>
        <v>0,5630</v>
      </c>
      <c r="E20" s="6" t="s">
        <v>50</v>
      </c>
      <c r="F20" s="6" t="s">
        <v>51</v>
      </c>
      <c r="G20" s="8" t="s">
        <v>65</v>
      </c>
      <c r="H20" s="8" t="s">
        <v>66</v>
      </c>
      <c r="I20" s="8" t="s">
        <v>97</v>
      </c>
      <c r="J20" s="7"/>
      <c r="K20" s="8" t="s">
        <v>112</v>
      </c>
      <c r="L20" s="8" t="s">
        <v>25</v>
      </c>
      <c r="M20" s="8" t="s">
        <v>75</v>
      </c>
      <c r="N20" s="7"/>
      <c r="O20" s="8" t="s">
        <v>57</v>
      </c>
      <c r="P20" s="8" t="s">
        <v>68</v>
      </c>
      <c r="Q20" s="8" t="s">
        <v>103</v>
      </c>
      <c r="R20" s="7"/>
      <c r="S20" s="11" t="str">
        <f>"292,5"</f>
        <v>292,5</v>
      </c>
      <c r="T20" s="12" t="str">
        <f>"202,5533"</f>
        <v>202,5533</v>
      </c>
      <c r="U20" s="6" t="s">
        <v>58</v>
      </c>
    </row>
    <row r="22" spans="1:21" ht="15" x14ac:dyDescent="0.2">
      <c r="E22" s="9" t="s">
        <v>28</v>
      </c>
      <c r="F22" s="34" t="s">
        <v>520</v>
      </c>
    </row>
    <row r="23" spans="1:21" ht="15" x14ac:dyDescent="0.2">
      <c r="E23" s="9" t="s">
        <v>29</v>
      </c>
      <c r="F23" s="34" t="s">
        <v>523</v>
      </c>
    </row>
    <row r="24" spans="1:21" ht="15" x14ac:dyDescent="0.2">
      <c r="E24" s="9" t="s">
        <v>30</v>
      </c>
      <c r="F24" s="34" t="s">
        <v>521</v>
      </c>
    </row>
    <row r="25" spans="1:21" ht="15" x14ac:dyDescent="0.2">
      <c r="E25" s="9" t="s">
        <v>31</v>
      </c>
      <c r="F25" s="34" t="s">
        <v>524</v>
      </c>
    </row>
    <row r="26" spans="1:21" ht="15" x14ac:dyDescent="0.2">
      <c r="E26" s="9" t="s">
        <v>31</v>
      </c>
      <c r="F26" s="34" t="s">
        <v>522</v>
      </c>
    </row>
    <row r="27" spans="1:21" ht="15" x14ac:dyDescent="0.2">
      <c r="E27" s="9"/>
    </row>
    <row r="28" spans="1:21" ht="15" x14ac:dyDescent="0.2">
      <c r="E28" s="9"/>
    </row>
    <row r="30" spans="1:21" ht="18" x14ac:dyDescent="0.25">
      <c r="A30" s="13" t="s">
        <v>32</v>
      </c>
      <c r="B30" s="13"/>
    </row>
    <row r="31" spans="1:21" ht="15" x14ac:dyDescent="0.2">
      <c r="A31" s="14" t="s">
        <v>33</v>
      </c>
      <c r="B31" s="14"/>
    </row>
    <row r="32" spans="1:21" ht="14.25" x14ac:dyDescent="0.2">
      <c r="A32" s="16"/>
      <c r="B32" s="17" t="s">
        <v>113</v>
      </c>
    </row>
    <row r="33" spans="1:5" ht="15" x14ac:dyDescent="0.2">
      <c r="A33" s="18" t="s">
        <v>35</v>
      </c>
      <c r="B33" s="18" t="s">
        <v>36</v>
      </c>
      <c r="C33" s="18" t="s">
        <v>37</v>
      </c>
      <c r="D33" s="18" t="s">
        <v>38</v>
      </c>
      <c r="E33" s="18" t="s">
        <v>39</v>
      </c>
    </row>
    <row r="34" spans="1:5" x14ac:dyDescent="0.2">
      <c r="A34" s="15" t="s">
        <v>46</v>
      </c>
      <c r="B34" s="4" t="s">
        <v>113</v>
      </c>
      <c r="C34" s="4" t="s">
        <v>114</v>
      </c>
      <c r="D34" s="4" t="s">
        <v>115</v>
      </c>
      <c r="E34" s="10" t="s">
        <v>116</v>
      </c>
    </row>
    <row r="35" spans="1:5" x14ac:dyDescent="0.2">
      <c r="A35" s="15" t="s">
        <v>60</v>
      </c>
      <c r="B35" s="4" t="s">
        <v>113</v>
      </c>
      <c r="C35" s="4" t="s">
        <v>117</v>
      </c>
      <c r="D35" s="4" t="s">
        <v>118</v>
      </c>
      <c r="E35" s="10" t="s">
        <v>119</v>
      </c>
    </row>
    <row r="38" spans="1:5" ht="15" x14ac:dyDescent="0.2">
      <c r="A38" s="14" t="s">
        <v>120</v>
      </c>
      <c r="B38" s="14"/>
    </row>
    <row r="39" spans="1:5" ht="14.25" x14ac:dyDescent="0.2">
      <c r="A39" s="16"/>
      <c r="B39" s="17" t="s">
        <v>121</v>
      </c>
    </row>
    <row r="40" spans="1:5" ht="15" x14ac:dyDescent="0.2">
      <c r="A40" s="18" t="s">
        <v>35</v>
      </c>
      <c r="B40" s="18" t="s">
        <v>36</v>
      </c>
      <c r="C40" s="18" t="s">
        <v>37</v>
      </c>
      <c r="D40" s="18" t="s">
        <v>38</v>
      </c>
      <c r="E40" s="18" t="s">
        <v>39</v>
      </c>
    </row>
    <row r="41" spans="1:5" x14ac:dyDescent="0.2">
      <c r="A41" s="15" t="s">
        <v>108</v>
      </c>
      <c r="B41" s="4" t="s">
        <v>122</v>
      </c>
      <c r="C41" s="4" t="s">
        <v>123</v>
      </c>
      <c r="D41" s="4" t="s">
        <v>124</v>
      </c>
      <c r="E41" s="10" t="s">
        <v>125</v>
      </c>
    </row>
    <row r="42" spans="1:5" x14ac:dyDescent="0.2">
      <c r="A42" s="15" t="s">
        <v>70</v>
      </c>
      <c r="B42" s="4" t="s">
        <v>126</v>
      </c>
      <c r="C42" s="4" t="s">
        <v>127</v>
      </c>
      <c r="D42" s="4" t="s">
        <v>128</v>
      </c>
      <c r="E42" s="10" t="s">
        <v>129</v>
      </c>
    </row>
    <row r="44" spans="1:5" ht="14.25" x14ac:dyDescent="0.2">
      <c r="A44" s="16"/>
      <c r="B44" s="17" t="s">
        <v>113</v>
      </c>
    </row>
    <row r="45" spans="1:5" ht="15" x14ac:dyDescent="0.2">
      <c r="A45" s="18" t="s">
        <v>35</v>
      </c>
      <c r="B45" s="18" t="s">
        <v>36</v>
      </c>
      <c r="C45" s="18" t="s">
        <v>37</v>
      </c>
      <c r="D45" s="18" t="s">
        <v>38</v>
      </c>
      <c r="E45" s="18" t="s">
        <v>39</v>
      </c>
    </row>
    <row r="46" spans="1:5" x14ac:dyDescent="0.2">
      <c r="A46" s="15" t="s">
        <v>78</v>
      </c>
      <c r="B46" s="4" t="s">
        <v>113</v>
      </c>
      <c r="C46" s="4" t="s">
        <v>130</v>
      </c>
      <c r="D46" s="4" t="s">
        <v>131</v>
      </c>
      <c r="E46" s="10" t="s">
        <v>132</v>
      </c>
    </row>
    <row r="47" spans="1:5" x14ac:dyDescent="0.2">
      <c r="A47" s="15" t="s">
        <v>92</v>
      </c>
      <c r="B47" s="4" t="s">
        <v>113</v>
      </c>
      <c r="C47" s="4" t="s">
        <v>130</v>
      </c>
      <c r="D47" s="4" t="s">
        <v>133</v>
      </c>
      <c r="E47" s="10" t="s">
        <v>134</v>
      </c>
    </row>
    <row r="48" spans="1:5" x14ac:dyDescent="0.2">
      <c r="A48" s="15" t="s">
        <v>99</v>
      </c>
      <c r="B48" s="4" t="s">
        <v>113</v>
      </c>
      <c r="C48" s="4" t="s">
        <v>130</v>
      </c>
      <c r="D48" s="4" t="s">
        <v>135</v>
      </c>
      <c r="E48" s="10" t="s">
        <v>136</v>
      </c>
    </row>
  </sheetData>
  <mergeCells count="18">
    <mergeCell ref="A8:R8"/>
    <mergeCell ref="A11:R11"/>
    <mergeCell ref="A14:R14"/>
    <mergeCell ref="A19:R19"/>
    <mergeCell ref="S3:S4"/>
    <mergeCell ref="T3:T4"/>
    <mergeCell ref="U3:U4"/>
    <mergeCell ref="A5:R5"/>
    <mergeCell ref="A1:U2"/>
    <mergeCell ref="A3:A4"/>
    <mergeCell ref="B3:B4"/>
    <mergeCell ref="C3:C4"/>
    <mergeCell ref="D3:D4"/>
    <mergeCell ref="E3:E4"/>
    <mergeCell ref="F3:F4"/>
    <mergeCell ref="G3:J3"/>
    <mergeCell ref="K3:N3"/>
    <mergeCell ref="O3:R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U20"/>
  <sheetViews>
    <sheetView workbookViewId="0">
      <selection activeCell="E22" sqref="E22"/>
    </sheetView>
  </sheetViews>
  <sheetFormatPr defaultRowHeight="12.75" x14ac:dyDescent="0.2"/>
  <cols>
    <col min="1" max="1" width="26" style="4" bestFit="1" customWidth="1"/>
    <col min="2" max="2" width="28.5703125" style="4" bestFit="1" customWidth="1"/>
    <col min="3" max="3" width="15.5703125" style="4" bestFit="1" customWidth="1"/>
    <col min="4" max="4" width="9.28515625" style="4" bestFit="1" customWidth="1"/>
    <col min="5" max="5" width="22.7109375" style="4" bestFit="1" customWidth="1"/>
    <col min="6" max="6" width="21.85546875" style="4" bestFit="1" customWidth="1"/>
    <col min="7" max="9" width="5.5703125" style="3" customWidth="1"/>
    <col min="10" max="10" width="4.85546875" style="3" customWidth="1"/>
    <col min="11" max="13" width="4.5703125" style="3" customWidth="1"/>
    <col min="14" max="14" width="4.85546875" style="3" customWidth="1"/>
    <col min="15" max="17" width="5.5703125" style="3" customWidth="1"/>
    <col min="18" max="18" width="4.85546875" style="3" customWidth="1"/>
    <col min="19" max="19" width="7.85546875" style="10" bestFit="1" customWidth="1"/>
    <col min="20" max="20" width="8.5703125" style="2" bestFit="1" customWidth="1"/>
    <col min="21" max="21" width="16.42578125" style="4" bestFit="1" customWidth="1"/>
    <col min="22" max="16384" width="9.140625" style="3"/>
  </cols>
  <sheetData>
    <row r="1" spans="1:21" s="2" customFormat="1" ht="29.1" customHeight="1" x14ac:dyDescent="0.2">
      <c r="A1" s="39" t="s">
        <v>526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1"/>
    </row>
    <row r="2" spans="1:21" s="2" customFormat="1" ht="62.1" customHeight="1" thickBot="1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4"/>
    </row>
    <row r="3" spans="1:21" s="1" customFormat="1" ht="12.75" customHeight="1" x14ac:dyDescent="0.2">
      <c r="A3" s="45" t="s">
        <v>0</v>
      </c>
      <c r="B3" s="47" t="s">
        <v>6</v>
      </c>
      <c r="C3" s="47" t="s">
        <v>10</v>
      </c>
      <c r="D3" s="49" t="s">
        <v>11</v>
      </c>
      <c r="E3" s="49" t="s">
        <v>4</v>
      </c>
      <c r="F3" s="49" t="s">
        <v>7</v>
      </c>
      <c r="G3" s="49" t="s">
        <v>12</v>
      </c>
      <c r="H3" s="49"/>
      <c r="I3" s="49"/>
      <c r="J3" s="49"/>
      <c r="K3" s="49" t="s">
        <v>13</v>
      </c>
      <c r="L3" s="49"/>
      <c r="M3" s="49"/>
      <c r="N3" s="49"/>
      <c r="O3" s="49" t="s">
        <v>14</v>
      </c>
      <c r="P3" s="49"/>
      <c r="Q3" s="49"/>
      <c r="R3" s="49"/>
      <c r="S3" s="49" t="s">
        <v>1</v>
      </c>
      <c r="T3" s="49" t="s">
        <v>3</v>
      </c>
      <c r="U3" s="50" t="s">
        <v>2</v>
      </c>
    </row>
    <row r="4" spans="1:21" s="1" customFormat="1" ht="21" customHeight="1" thickBot="1" x14ac:dyDescent="0.25">
      <c r="A4" s="46"/>
      <c r="B4" s="48"/>
      <c r="C4" s="48"/>
      <c r="D4" s="48"/>
      <c r="E4" s="48"/>
      <c r="F4" s="48"/>
      <c r="G4" s="5">
        <v>1</v>
      </c>
      <c r="H4" s="5">
        <v>2</v>
      </c>
      <c r="I4" s="5">
        <v>3</v>
      </c>
      <c r="J4" s="5" t="s">
        <v>5</v>
      </c>
      <c r="K4" s="5">
        <v>1</v>
      </c>
      <c r="L4" s="5">
        <v>2</v>
      </c>
      <c r="M4" s="5">
        <v>3</v>
      </c>
      <c r="N4" s="5" t="s">
        <v>5</v>
      </c>
      <c r="O4" s="5">
        <v>1</v>
      </c>
      <c r="P4" s="5">
        <v>2</v>
      </c>
      <c r="Q4" s="5">
        <v>3</v>
      </c>
      <c r="R4" s="5" t="s">
        <v>5</v>
      </c>
      <c r="S4" s="48"/>
      <c r="T4" s="48"/>
      <c r="U4" s="51"/>
    </row>
    <row r="5" spans="1:21" ht="15" x14ac:dyDescent="0.2">
      <c r="A5" s="52" t="s">
        <v>15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21" x14ac:dyDescent="0.2">
      <c r="A6" s="6" t="s">
        <v>17</v>
      </c>
      <c r="B6" s="6" t="s">
        <v>18</v>
      </c>
      <c r="C6" s="6" t="s">
        <v>19</v>
      </c>
      <c r="D6" s="6" t="str">
        <f>"0,8763"</f>
        <v>0,8763</v>
      </c>
      <c r="E6" s="6" t="s">
        <v>20</v>
      </c>
      <c r="F6" s="6" t="s">
        <v>21</v>
      </c>
      <c r="G6" s="7" t="s">
        <v>22</v>
      </c>
      <c r="H6" s="7" t="s">
        <v>22</v>
      </c>
      <c r="I6" s="8" t="s">
        <v>22</v>
      </c>
      <c r="J6" s="7"/>
      <c r="K6" s="8" t="s">
        <v>23</v>
      </c>
      <c r="L6" s="8" t="s">
        <v>24</v>
      </c>
      <c r="M6" s="7" t="s">
        <v>25</v>
      </c>
      <c r="N6" s="7"/>
      <c r="O6" s="8" t="s">
        <v>22</v>
      </c>
      <c r="P6" s="7" t="s">
        <v>26</v>
      </c>
      <c r="Q6" s="8" t="s">
        <v>26</v>
      </c>
      <c r="R6" s="7"/>
      <c r="S6" s="11" t="str">
        <f>"265,0"</f>
        <v>265,0</v>
      </c>
      <c r="T6" s="12" t="str">
        <f>"265,6591"</f>
        <v>265,6591</v>
      </c>
      <c r="U6" s="6" t="s">
        <v>27</v>
      </c>
    </row>
    <row r="8" spans="1:21" ht="15" x14ac:dyDescent="0.2">
      <c r="E8" s="9" t="s">
        <v>28</v>
      </c>
      <c r="F8" s="34" t="s">
        <v>520</v>
      </c>
    </row>
    <row r="9" spans="1:21" ht="15" x14ac:dyDescent="0.2">
      <c r="E9" s="9" t="s">
        <v>29</v>
      </c>
      <c r="F9" s="34" t="s">
        <v>523</v>
      </c>
    </row>
    <row r="10" spans="1:21" ht="15" x14ac:dyDescent="0.2">
      <c r="E10" s="9" t="s">
        <v>30</v>
      </c>
      <c r="F10" s="34" t="s">
        <v>521</v>
      </c>
    </row>
    <row r="11" spans="1:21" ht="15" x14ac:dyDescent="0.2">
      <c r="E11" s="9" t="s">
        <v>31</v>
      </c>
      <c r="F11" s="34" t="s">
        <v>524</v>
      </c>
    </row>
    <row r="12" spans="1:21" ht="15" x14ac:dyDescent="0.2">
      <c r="E12" s="9" t="s">
        <v>31</v>
      </c>
      <c r="F12" s="34" t="s">
        <v>522</v>
      </c>
    </row>
    <row r="13" spans="1:21" ht="15" x14ac:dyDescent="0.2">
      <c r="E13" s="9"/>
    </row>
    <row r="14" spans="1:21" ht="15" x14ac:dyDescent="0.2">
      <c r="E14" s="9"/>
    </row>
    <row r="16" spans="1:21" ht="18" x14ac:dyDescent="0.25">
      <c r="A16" s="13" t="s">
        <v>32</v>
      </c>
      <c r="B16" s="13"/>
    </row>
    <row r="17" spans="1:5" ht="15" x14ac:dyDescent="0.2">
      <c r="A17" s="14" t="s">
        <v>33</v>
      </c>
      <c r="B17" s="14"/>
    </row>
    <row r="18" spans="1:5" ht="14.25" x14ac:dyDescent="0.2">
      <c r="A18" s="16"/>
      <c r="B18" s="17" t="s">
        <v>34</v>
      </c>
    </row>
    <row r="19" spans="1:5" ht="15" x14ac:dyDescent="0.2">
      <c r="A19" s="18" t="s">
        <v>35</v>
      </c>
      <c r="B19" s="18" t="s">
        <v>36</v>
      </c>
      <c r="C19" s="18" t="s">
        <v>37</v>
      </c>
      <c r="D19" s="18" t="s">
        <v>38</v>
      </c>
      <c r="E19" s="18" t="s">
        <v>39</v>
      </c>
    </row>
    <row r="20" spans="1:5" x14ac:dyDescent="0.2">
      <c r="A20" s="15" t="s">
        <v>16</v>
      </c>
      <c r="B20" s="4" t="s">
        <v>40</v>
      </c>
      <c r="C20" s="4" t="s">
        <v>41</v>
      </c>
      <c r="D20" s="4" t="s">
        <v>42</v>
      </c>
      <c r="E20" s="10" t="s">
        <v>43</v>
      </c>
    </row>
  </sheetData>
  <mergeCells count="14">
    <mergeCell ref="A5:R5"/>
    <mergeCell ref="D3:D4"/>
    <mergeCell ref="S3:S4"/>
    <mergeCell ref="T3:T4"/>
    <mergeCell ref="A1:U2"/>
    <mergeCell ref="G3:J3"/>
    <mergeCell ref="K3:N3"/>
    <mergeCell ref="O3:R3"/>
    <mergeCell ref="A3:A4"/>
    <mergeCell ref="B3:B4"/>
    <mergeCell ref="C3:C4"/>
    <mergeCell ref="U3:U4"/>
    <mergeCell ref="F3:F4"/>
    <mergeCell ref="E3:E4"/>
  </mergeCells>
  <phoneticPr fontId="0" type="noConversion"/>
  <pageMargins left="0.19685039370078741" right="0.47244094488188981" top="0.43307086614173229" bottom="0.47244094488188981" header="0.51181102362204722" footer="0.51181102362204722"/>
  <pageSetup scale="58" fitToHeight="100" orientation="landscape" horizontalDpi="300" verticalDpi="300" r:id="rId1"/>
  <headerFooter alignWithMargins="0">
    <oddFooter>&amp;L&amp;G&amp;R&amp;D&amp;T&amp;P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E13" sqref="E13"/>
    </sheetView>
  </sheetViews>
  <sheetFormatPr defaultRowHeight="12.75" x14ac:dyDescent="0.2"/>
  <cols>
    <col min="1" max="1" width="26" style="4" bestFit="1" customWidth="1"/>
    <col min="2" max="2" width="26.28515625" style="4" bestFit="1" customWidth="1"/>
    <col min="3" max="3" width="15.5703125" style="4" bestFit="1" customWidth="1"/>
    <col min="4" max="4" width="11.85546875" style="4" bestFit="1" customWidth="1"/>
    <col min="5" max="5" width="22.7109375" style="4" bestFit="1" customWidth="1"/>
    <col min="6" max="6" width="24.7109375" style="4" bestFit="1" customWidth="1"/>
    <col min="7" max="7" width="5" style="3" customWidth="1"/>
    <col min="8" max="8" width="10.42578125" style="3" customWidth="1"/>
    <col min="9" max="9" width="7.85546875" style="10" bestFit="1" customWidth="1"/>
    <col min="10" max="10" width="7.5703125" style="2" bestFit="1" customWidth="1"/>
    <col min="11" max="11" width="17.85546875" style="4" bestFit="1" customWidth="1"/>
    <col min="12" max="16384" width="9.140625" style="3"/>
  </cols>
  <sheetData>
    <row r="1" spans="1:11" s="2" customFormat="1" ht="29.1" customHeight="1" x14ac:dyDescent="0.2">
      <c r="A1" s="39" t="s">
        <v>495</v>
      </c>
      <c r="B1" s="40"/>
      <c r="C1" s="40"/>
      <c r="D1" s="40"/>
      <c r="E1" s="40"/>
      <c r="F1" s="40"/>
      <c r="G1" s="40"/>
      <c r="H1" s="40"/>
      <c r="I1" s="40"/>
      <c r="J1" s="40"/>
      <c r="K1" s="41"/>
    </row>
    <row r="2" spans="1:11" s="2" customFormat="1" ht="62.1" customHeight="1" thickBot="1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4"/>
    </row>
    <row r="3" spans="1:11" s="1" customFormat="1" ht="12.75" customHeight="1" x14ac:dyDescent="0.2">
      <c r="A3" s="45" t="s">
        <v>0</v>
      </c>
      <c r="B3" s="47" t="s">
        <v>6</v>
      </c>
      <c r="C3" s="47" t="s">
        <v>10</v>
      </c>
      <c r="D3" s="49" t="s">
        <v>482</v>
      </c>
      <c r="E3" s="49" t="s">
        <v>4</v>
      </c>
      <c r="F3" s="49" t="s">
        <v>7</v>
      </c>
      <c r="G3" s="49" t="s">
        <v>483</v>
      </c>
      <c r="H3" s="49"/>
      <c r="I3" s="49" t="s">
        <v>494</v>
      </c>
      <c r="J3" s="49" t="s">
        <v>3</v>
      </c>
      <c r="K3" s="50" t="s">
        <v>2</v>
      </c>
    </row>
    <row r="4" spans="1:11" s="1" customFormat="1" ht="21" customHeight="1" thickBot="1" x14ac:dyDescent="0.25">
      <c r="A4" s="46"/>
      <c r="B4" s="48"/>
      <c r="C4" s="48"/>
      <c r="D4" s="48"/>
      <c r="E4" s="48"/>
      <c r="F4" s="48"/>
      <c r="G4" s="5" t="s">
        <v>8</v>
      </c>
      <c r="H4" s="5" t="s">
        <v>9</v>
      </c>
      <c r="I4" s="48"/>
      <c r="J4" s="48"/>
      <c r="K4" s="51"/>
    </row>
    <row r="5" spans="1:11" ht="15" x14ac:dyDescent="0.2">
      <c r="A5" s="52" t="s">
        <v>484</v>
      </c>
      <c r="B5" s="53"/>
      <c r="C5" s="53"/>
      <c r="D5" s="53"/>
      <c r="E5" s="53"/>
      <c r="F5" s="53"/>
      <c r="G5" s="53"/>
      <c r="H5" s="53"/>
    </row>
    <row r="6" spans="1:11" x14ac:dyDescent="0.2">
      <c r="A6" s="6" t="s">
        <v>239</v>
      </c>
      <c r="B6" s="6" t="s">
        <v>240</v>
      </c>
      <c r="C6" s="6" t="s">
        <v>241</v>
      </c>
      <c r="D6" s="6" t="str">
        <f>"1,0000"</f>
        <v>1,0000</v>
      </c>
      <c r="E6" s="6" t="s">
        <v>50</v>
      </c>
      <c r="F6" s="6" t="s">
        <v>51</v>
      </c>
      <c r="G6" s="8" t="s">
        <v>55</v>
      </c>
      <c r="H6" s="8" t="s">
        <v>496</v>
      </c>
      <c r="I6" s="11" t="str">
        <f>"770,0"</f>
        <v>770,0</v>
      </c>
      <c r="J6" s="12" t="str">
        <f>"11,9010"</f>
        <v>11,9010</v>
      </c>
      <c r="K6" s="6" t="s">
        <v>58</v>
      </c>
    </row>
    <row r="8" spans="1:11" ht="15" x14ac:dyDescent="0.2">
      <c r="E8" s="9" t="s">
        <v>28</v>
      </c>
      <c r="F8" s="34" t="s">
        <v>520</v>
      </c>
    </row>
    <row r="9" spans="1:11" ht="15" x14ac:dyDescent="0.2">
      <c r="E9" s="9" t="s">
        <v>29</v>
      </c>
      <c r="F9" s="34" t="s">
        <v>523</v>
      </c>
    </row>
    <row r="10" spans="1:11" ht="15" x14ac:dyDescent="0.2">
      <c r="E10" s="9" t="s">
        <v>30</v>
      </c>
      <c r="F10" s="34" t="s">
        <v>521</v>
      </c>
    </row>
    <row r="11" spans="1:11" ht="15" x14ac:dyDescent="0.2">
      <c r="E11" s="9" t="s">
        <v>31</v>
      </c>
      <c r="F11" s="34" t="s">
        <v>524</v>
      </c>
    </row>
    <row r="12" spans="1:11" ht="15" x14ac:dyDescent="0.2">
      <c r="E12" s="9" t="s">
        <v>31</v>
      </c>
      <c r="F12" s="34" t="s">
        <v>522</v>
      </c>
    </row>
    <row r="13" spans="1:11" ht="15" x14ac:dyDescent="0.2">
      <c r="E13" s="9"/>
    </row>
    <row r="14" spans="1:11" ht="15" x14ac:dyDescent="0.2">
      <c r="E14" s="9"/>
    </row>
    <row r="16" spans="1:11" ht="18" x14ac:dyDescent="0.25">
      <c r="A16" s="13" t="s">
        <v>32</v>
      </c>
      <c r="B16" s="13"/>
    </row>
    <row r="17" spans="1:5" ht="15" x14ac:dyDescent="0.2">
      <c r="A17" s="14" t="s">
        <v>33</v>
      </c>
      <c r="B17" s="14"/>
    </row>
    <row r="18" spans="1:5" ht="14.25" x14ac:dyDescent="0.2">
      <c r="A18" s="16"/>
      <c r="B18" s="17" t="s">
        <v>113</v>
      </c>
    </row>
    <row r="19" spans="1:5" ht="15" x14ac:dyDescent="0.2">
      <c r="A19" s="18" t="s">
        <v>35</v>
      </c>
      <c r="B19" s="18" t="s">
        <v>36</v>
      </c>
      <c r="C19" s="18" t="s">
        <v>37</v>
      </c>
      <c r="D19" s="18" t="s">
        <v>193</v>
      </c>
      <c r="E19" s="18" t="s">
        <v>490</v>
      </c>
    </row>
    <row r="20" spans="1:5" x14ac:dyDescent="0.2">
      <c r="A20" s="15" t="s">
        <v>238</v>
      </c>
      <c r="B20" s="4" t="s">
        <v>113</v>
      </c>
      <c r="C20" s="4" t="s">
        <v>491</v>
      </c>
      <c r="D20" s="4" t="s">
        <v>497</v>
      </c>
      <c r="E20" s="10" t="s">
        <v>498</v>
      </c>
    </row>
  </sheetData>
  <mergeCells count="12">
    <mergeCell ref="A5:H5"/>
    <mergeCell ref="A1:K2"/>
    <mergeCell ref="A3:A4"/>
    <mergeCell ref="B3:B4"/>
    <mergeCell ref="C3:C4"/>
    <mergeCell ref="D3:D4"/>
    <mergeCell ref="E3:E4"/>
    <mergeCell ref="F3:F4"/>
    <mergeCell ref="G3:H3"/>
    <mergeCell ref="I3:I4"/>
    <mergeCell ref="J3:J4"/>
    <mergeCell ref="K3:K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E13" sqref="E13"/>
    </sheetView>
  </sheetViews>
  <sheetFormatPr defaultRowHeight="12.75" x14ac:dyDescent="0.2"/>
  <cols>
    <col min="1" max="1" width="26" style="4" bestFit="1" customWidth="1"/>
    <col min="2" max="2" width="26.28515625" style="4" bestFit="1" customWidth="1"/>
    <col min="3" max="3" width="15.5703125" style="4" bestFit="1" customWidth="1"/>
    <col min="4" max="4" width="11.85546875" style="4" bestFit="1" customWidth="1"/>
    <col min="5" max="5" width="22.7109375" style="4" bestFit="1" customWidth="1"/>
    <col min="6" max="6" width="29" style="4" bestFit="1" customWidth="1"/>
    <col min="7" max="7" width="5" style="3" customWidth="1"/>
    <col min="8" max="8" width="10.42578125" style="3" customWidth="1"/>
    <col min="9" max="9" width="7.85546875" style="10" bestFit="1" customWidth="1"/>
    <col min="10" max="10" width="7.5703125" style="2" bestFit="1" customWidth="1"/>
    <col min="11" max="11" width="8.85546875" style="4" bestFit="1" customWidth="1"/>
    <col min="12" max="16384" width="9.140625" style="3"/>
  </cols>
  <sheetData>
    <row r="1" spans="1:11" s="2" customFormat="1" ht="29.1" customHeight="1" x14ac:dyDescent="0.2">
      <c r="A1" s="39" t="s">
        <v>481</v>
      </c>
      <c r="B1" s="40"/>
      <c r="C1" s="40"/>
      <c r="D1" s="40"/>
      <c r="E1" s="40"/>
      <c r="F1" s="40"/>
      <c r="G1" s="40"/>
      <c r="H1" s="40"/>
      <c r="I1" s="40"/>
      <c r="J1" s="40"/>
      <c r="K1" s="41"/>
    </row>
    <row r="2" spans="1:11" s="2" customFormat="1" ht="62.1" customHeight="1" thickBot="1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4"/>
    </row>
    <row r="3" spans="1:11" s="1" customFormat="1" ht="12.75" customHeight="1" x14ac:dyDescent="0.2">
      <c r="A3" s="45" t="s">
        <v>0</v>
      </c>
      <c r="B3" s="47" t="s">
        <v>6</v>
      </c>
      <c r="C3" s="47" t="s">
        <v>10</v>
      </c>
      <c r="D3" s="49" t="s">
        <v>482</v>
      </c>
      <c r="E3" s="49" t="s">
        <v>4</v>
      </c>
      <c r="F3" s="49" t="s">
        <v>7</v>
      </c>
      <c r="G3" s="49" t="s">
        <v>483</v>
      </c>
      <c r="H3" s="49"/>
      <c r="I3" s="49" t="s">
        <v>494</v>
      </c>
      <c r="J3" s="49" t="s">
        <v>3</v>
      </c>
      <c r="K3" s="50" t="s">
        <v>2</v>
      </c>
    </row>
    <row r="4" spans="1:11" s="1" customFormat="1" ht="21" customHeight="1" thickBot="1" x14ac:dyDescent="0.25">
      <c r="A4" s="46"/>
      <c r="B4" s="48"/>
      <c r="C4" s="48"/>
      <c r="D4" s="48"/>
      <c r="E4" s="48"/>
      <c r="F4" s="48"/>
      <c r="G4" s="5" t="s">
        <v>8</v>
      </c>
      <c r="H4" s="5" t="s">
        <v>9</v>
      </c>
      <c r="I4" s="48"/>
      <c r="J4" s="48"/>
      <c r="K4" s="51"/>
    </row>
    <row r="5" spans="1:11" ht="15" x14ac:dyDescent="0.2">
      <c r="A5" s="52" t="s">
        <v>484</v>
      </c>
      <c r="B5" s="53"/>
      <c r="C5" s="53"/>
      <c r="D5" s="53"/>
      <c r="E5" s="53"/>
      <c r="F5" s="53"/>
      <c r="G5" s="53"/>
      <c r="H5" s="53"/>
    </row>
    <row r="6" spans="1:11" x14ac:dyDescent="0.2">
      <c r="A6" s="6" t="s">
        <v>486</v>
      </c>
      <c r="B6" s="6" t="s">
        <v>487</v>
      </c>
      <c r="C6" s="6" t="s">
        <v>102</v>
      </c>
      <c r="D6" s="6" t="str">
        <f>"1,0000"</f>
        <v>1,0000</v>
      </c>
      <c r="E6" s="6" t="s">
        <v>82</v>
      </c>
      <c r="F6" s="6" t="s">
        <v>488</v>
      </c>
      <c r="G6" s="8" t="s">
        <v>55</v>
      </c>
      <c r="H6" s="8" t="s">
        <v>489</v>
      </c>
      <c r="I6" s="11" t="str">
        <f>"3410,0"</f>
        <v>3410,0</v>
      </c>
      <c r="J6" s="12" t="str">
        <f>"39,5133"</f>
        <v>39,5133</v>
      </c>
      <c r="K6" s="6" t="s">
        <v>91</v>
      </c>
    </row>
    <row r="8" spans="1:11" ht="15" x14ac:dyDescent="0.2">
      <c r="E8" s="9" t="s">
        <v>28</v>
      </c>
      <c r="F8" s="34" t="s">
        <v>520</v>
      </c>
    </row>
    <row r="9" spans="1:11" ht="15" x14ac:dyDescent="0.2">
      <c r="E9" s="9" t="s">
        <v>29</v>
      </c>
      <c r="F9" s="34" t="s">
        <v>523</v>
      </c>
    </row>
    <row r="10" spans="1:11" ht="15" x14ac:dyDescent="0.2">
      <c r="E10" s="9" t="s">
        <v>30</v>
      </c>
      <c r="F10" s="34" t="s">
        <v>521</v>
      </c>
    </row>
    <row r="11" spans="1:11" ht="15" x14ac:dyDescent="0.2">
      <c r="E11" s="9" t="s">
        <v>31</v>
      </c>
      <c r="F11" s="34" t="s">
        <v>524</v>
      </c>
    </row>
    <row r="12" spans="1:11" ht="15" x14ac:dyDescent="0.2">
      <c r="E12" s="9" t="s">
        <v>31</v>
      </c>
      <c r="F12" s="34" t="s">
        <v>522</v>
      </c>
    </row>
    <row r="13" spans="1:11" ht="15" x14ac:dyDescent="0.2">
      <c r="E13" s="9"/>
    </row>
    <row r="14" spans="1:11" ht="15" x14ac:dyDescent="0.2">
      <c r="E14" s="9"/>
    </row>
    <row r="16" spans="1:11" ht="18" x14ac:dyDescent="0.25">
      <c r="A16" s="13" t="s">
        <v>32</v>
      </c>
      <c r="B16" s="13"/>
    </row>
    <row r="17" spans="1:5" ht="15" x14ac:dyDescent="0.2">
      <c r="A17" s="14" t="s">
        <v>120</v>
      </c>
      <c r="B17" s="14"/>
    </row>
    <row r="18" spans="1:5" ht="14.25" x14ac:dyDescent="0.2">
      <c r="A18" s="16"/>
      <c r="B18" s="17" t="s">
        <v>113</v>
      </c>
    </row>
    <row r="19" spans="1:5" ht="15" x14ac:dyDescent="0.2">
      <c r="A19" s="18" t="s">
        <v>35</v>
      </c>
      <c r="B19" s="18" t="s">
        <v>36</v>
      </c>
      <c r="C19" s="18" t="s">
        <v>37</v>
      </c>
      <c r="D19" s="18" t="s">
        <v>193</v>
      </c>
      <c r="E19" s="18" t="s">
        <v>490</v>
      </c>
    </row>
    <row r="20" spans="1:5" x14ac:dyDescent="0.2">
      <c r="A20" s="15" t="s">
        <v>485</v>
      </c>
      <c r="B20" s="4" t="s">
        <v>113</v>
      </c>
      <c r="C20" s="4" t="s">
        <v>491</v>
      </c>
      <c r="D20" s="4" t="s">
        <v>492</v>
      </c>
      <c r="E20" s="10" t="s">
        <v>493</v>
      </c>
    </row>
  </sheetData>
  <mergeCells count="12">
    <mergeCell ref="A5:H5"/>
    <mergeCell ref="A1:K2"/>
    <mergeCell ref="A3:A4"/>
    <mergeCell ref="B3:B4"/>
    <mergeCell ref="C3:C4"/>
    <mergeCell ref="D3:D4"/>
    <mergeCell ref="E3:E4"/>
    <mergeCell ref="F3:F4"/>
    <mergeCell ref="G3:H3"/>
    <mergeCell ref="I3:I4"/>
    <mergeCell ref="J3:J4"/>
    <mergeCell ref="K3:K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workbookViewId="0">
      <selection activeCell="E14" sqref="E14"/>
    </sheetView>
  </sheetViews>
  <sheetFormatPr defaultRowHeight="12.75" x14ac:dyDescent="0.2"/>
  <cols>
    <col min="1" max="1" width="26" style="4" bestFit="1" customWidth="1"/>
    <col min="2" max="2" width="28.5703125" style="4" bestFit="1" customWidth="1"/>
    <col min="3" max="3" width="15.5703125" style="4" bestFit="1" customWidth="1"/>
    <col min="4" max="4" width="9.28515625" style="4" bestFit="1" customWidth="1"/>
    <col min="5" max="5" width="32.28515625" style="4" bestFit="1" customWidth="1"/>
    <col min="6" max="6" width="30.28515625" style="4" bestFit="1" customWidth="1"/>
    <col min="7" max="8" width="4.5703125" style="3" customWidth="1"/>
    <col min="9" max="9" width="5.5703125" style="3" customWidth="1"/>
    <col min="10" max="10" width="4.85546875" style="3" customWidth="1"/>
    <col min="11" max="13" width="4.5703125" style="3" customWidth="1"/>
    <col min="14" max="14" width="4.85546875" style="3" customWidth="1"/>
    <col min="15" max="15" width="7.85546875" style="10" bestFit="1" customWidth="1"/>
    <col min="16" max="16" width="7.5703125" style="2" bestFit="1" customWidth="1"/>
    <col min="17" max="17" width="16.85546875" style="4" bestFit="1" customWidth="1"/>
    <col min="18" max="16384" width="9.140625" style="3"/>
  </cols>
  <sheetData>
    <row r="1" spans="1:17" s="2" customFormat="1" ht="29.1" customHeight="1" x14ac:dyDescent="0.2">
      <c r="A1" s="39" t="s">
        <v>479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1"/>
    </row>
    <row r="2" spans="1:17" s="2" customFormat="1" ht="62.1" customHeight="1" thickBot="1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4"/>
    </row>
    <row r="3" spans="1:17" s="1" customFormat="1" ht="12.75" customHeight="1" x14ac:dyDescent="0.2">
      <c r="A3" s="45" t="s">
        <v>0</v>
      </c>
      <c r="B3" s="47" t="s">
        <v>6</v>
      </c>
      <c r="C3" s="47" t="s">
        <v>10</v>
      </c>
      <c r="D3" s="49" t="s">
        <v>11</v>
      </c>
      <c r="E3" s="49" t="s">
        <v>4</v>
      </c>
      <c r="F3" s="49" t="s">
        <v>7</v>
      </c>
      <c r="G3" s="49" t="s">
        <v>437</v>
      </c>
      <c r="H3" s="49"/>
      <c r="I3" s="49"/>
      <c r="J3" s="49"/>
      <c r="K3" s="49" t="s">
        <v>445</v>
      </c>
      <c r="L3" s="49"/>
      <c r="M3" s="49"/>
      <c r="N3" s="49"/>
      <c r="O3" s="49" t="s">
        <v>1</v>
      </c>
      <c r="P3" s="49" t="s">
        <v>3</v>
      </c>
      <c r="Q3" s="50" t="s">
        <v>2</v>
      </c>
    </row>
    <row r="4" spans="1:17" s="1" customFormat="1" ht="21" customHeight="1" thickBot="1" x14ac:dyDescent="0.25">
      <c r="A4" s="46"/>
      <c r="B4" s="48"/>
      <c r="C4" s="48"/>
      <c r="D4" s="48"/>
      <c r="E4" s="48"/>
      <c r="F4" s="48"/>
      <c r="G4" s="5">
        <v>1</v>
      </c>
      <c r="H4" s="5">
        <v>2</v>
      </c>
      <c r="I4" s="5">
        <v>3</v>
      </c>
      <c r="J4" s="5" t="s">
        <v>5</v>
      </c>
      <c r="K4" s="5">
        <v>1</v>
      </c>
      <c r="L4" s="5">
        <v>2</v>
      </c>
      <c r="M4" s="5">
        <v>3</v>
      </c>
      <c r="N4" s="5" t="s">
        <v>5</v>
      </c>
      <c r="O4" s="48"/>
      <c r="P4" s="48"/>
      <c r="Q4" s="51"/>
    </row>
    <row r="5" spans="1:17" ht="15" x14ac:dyDescent="0.2">
      <c r="A5" s="52" t="s">
        <v>107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7" x14ac:dyDescent="0.2">
      <c r="A6" s="19" t="s">
        <v>204</v>
      </c>
      <c r="B6" s="19" t="s">
        <v>205</v>
      </c>
      <c r="C6" s="19" t="s">
        <v>206</v>
      </c>
      <c r="D6" s="19" t="str">
        <f>"0,5540"</f>
        <v>0,5540</v>
      </c>
      <c r="E6" s="19" t="s">
        <v>207</v>
      </c>
      <c r="F6" s="19" t="s">
        <v>208</v>
      </c>
      <c r="G6" s="20" t="s">
        <v>52</v>
      </c>
      <c r="H6" s="20" t="s">
        <v>65</v>
      </c>
      <c r="I6" s="20" t="s">
        <v>22</v>
      </c>
      <c r="J6" s="21"/>
      <c r="K6" s="20" t="s">
        <v>56</v>
      </c>
      <c r="L6" s="21" t="s">
        <v>75</v>
      </c>
      <c r="M6" s="21" t="s">
        <v>75</v>
      </c>
      <c r="N6" s="21"/>
      <c r="O6" s="28" t="str">
        <f>"160,0"</f>
        <v>160,0</v>
      </c>
      <c r="P6" s="29" t="str">
        <f>"88,6400"</f>
        <v>88,6400</v>
      </c>
      <c r="Q6" s="19" t="s">
        <v>210</v>
      </c>
    </row>
    <row r="7" spans="1:17" x14ac:dyDescent="0.2">
      <c r="A7" s="25" t="s">
        <v>439</v>
      </c>
      <c r="B7" s="25" t="s">
        <v>440</v>
      </c>
      <c r="C7" s="25" t="s">
        <v>441</v>
      </c>
      <c r="D7" s="25" t="str">
        <f>"0,5714"</f>
        <v>0,5714</v>
      </c>
      <c r="E7" s="25" t="s">
        <v>170</v>
      </c>
      <c r="F7" s="25" t="s">
        <v>171</v>
      </c>
      <c r="G7" s="27" t="s">
        <v>64</v>
      </c>
      <c r="H7" s="26" t="s">
        <v>64</v>
      </c>
      <c r="I7" s="27" t="s">
        <v>156</v>
      </c>
      <c r="J7" s="27"/>
      <c r="K7" s="26" t="s">
        <v>112</v>
      </c>
      <c r="L7" s="26" t="s">
        <v>75</v>
      </c>
      <c r="M7" s="27" t="s">
        <v>67</v>
      </c>
      <c r="N7" s="27"/>
      <c r="O7" s="32" t="str">
        <f>"155,0"</f>
        <v>155,0</v>
      </c>
      <c r="P7" s="33" t="str">
        <f>"94,6781"</f>
        <v>94,6781</v>
      </c>
      <c r="Q7" s="25" t="s">
        <v>442</v>
      </c>
    </row>
    <row r="9" spans="1:17" ht="15" x14ac:dyDescent="0.2">
      <c r="E9" s="9" t="s">
        <v>28</v>
      </c>
      <c r="F9" s="34" t="s">
        <v>520</v>
      </c>
    </row>
    <row r="10" spans="1:17" ht="15" x14ac:dyDescent="0.2">
      <c r="E10" s="9" t="s">
        <v>29</v>
      </c>
      <c r="F10" s="34" t="s">
        <v>523</v>
      </c>
    </row>
    <row r="11" spans="1:17" ht="15" x14ac:dyDescent="0.2">
      <c r="E11" s="9" t="s">
        <v>30</v>
      </c>
      <c r="F11" s="34" t="s">
        <v>521</v>
      </c>
    </row>
    <row r="12" spans="1:17" ht="15" x14ac:dyDescent="0.2">
      <c r="E12" s="9" t="s">
        <v>31</v>
      </c>
      <c r="F12" s="34" t="s">
        <v>524</v>
      </c>
    </row>
    <row r="13" spans="1:17" ht="15" x14ac:dyDescent="0.2">
      <c r="E13" s="9" t="s">
        <v>31</v>
      </c>
      <c r="F13" s="34" t="s">
        <v>522</v>
      </c>
    </row>
    <row r="14" spans="1:17" ht="15" x14ac:dyDescent="0.2">
      <c r="E14" s="9"/>
    </row>
    <row r="15" spans="1:17" ht="15" x14ac:dyDescent="0.2">
      <c r="E15" s="9"/>
    </row>
    <row r="17" spans="1:5" ht="18" x14ac:dyDescent="0.25">
      <c r="A17" s="13" t="s">
        <v>32</v>
      </c>
      <c r="B17" s="13"/>
    </row>
    <row r="18" spans="1:5" ht="15" x14ac:dyDescent="0.2">
      <c r="A18" s="14" t="s">
        <v>120</v>
      </c>
      <c r="B18" s="14"/>
    </row>
    <row r="19" spans="1:5" ht="14.25" x14ac:dyDescent="0.2">
      <c r="A19" s="16"/>
      <c r="B19" s="17" t="s">
        <v>113</v>
      </c>
    </row>
    <row r="20" spans="1:5" ht="15" x14ac:dyDescent="0.2">
      <c r="A20" s="18" t="s">
        <v>35</v>
      </c>
      <c r="B20" s="18" t="s">
        <v>36</v>
      </c>
      <c r="C20" s="18" t="s">
        <v>37</v>
      </c>
      <c r="D20" s="18" t="s">
        <v>38</v>
      </c>
      <c r="E20" s="18" t="s">
        <v>39</v>
      </c>
    </row>
    <row r="21" spans="1:5" x14ac:dyDescent="0.2">
      <c r="A21" s="15" t="s">
        <v>203</v>
      </c>
      <c r="B21" s="4" t="s">
        <v>113</v>
      </c>
      <c r="C21" s="4" t="s">
        <v>123</v>
      </c>
      <c r="D21" s="4" t="s">
        <v>86</v>
      </c>
      <c r="E21" s="10" t="s">
        <v>211</v>
      </c>
    </row>
    <row r="23" spans="1:5" ht="14.25" x14ac:dyDescent="0.2">
      <c r="A23" s="16"/>
      <c r="B23" s="17" t="s">
        <v>34</v>
      </c>
    </row>
    <row r="24" spans="1:5" ht="15" x14ac:dyDescent="0.2">
      <c r="A24" s="18" t="s">
        <v>35</v>
      </c>
      <c r="B24" s="18" t="s">
        <v>36</v>
      </c>
      <c r="C24" s="18" t="s">
        <v>37</v>
      </c>
      <c r="D24" s="18" t="s">
        <v>38</v>
      </c>
      <c r="E24" s="18" t="s">
        <v>39</v>
      </c>
    </row>
    <row r="25" spans="1:5" x14ac:dyDescent="0.2">
      <c r="A25" s="15" t="s">
        <v>438</v>
      </c>
      <c r="B25" s="4" t="s">
        <v>40</v>
      </c>
      <c r="C25" s="4" t="s">
        <v>123</v>
      </c>
      <c r="D25" s="4" t="s">
        <v>264</v>
      </c>
      <c r="E25" s="10" t="s">
        <v>480</v>
      </c>
    </row>
  </sheetData>
  <mergeCells count="13">
    <mergeCell ref="O3:O4"/>
    <mergeCell ref="P3:P4"/>
    <mergeCell ref="Q3:Q4"/>
    <mergeCell ref="A5:N5"/>
    <mergeCell ref="A1:Q2"/>
    <mergeCell ref="A3:A4"/>
    <mergeCell ref="B3:B4"/>
    <mergeCell ref="C3:C4"/>
    <mergeCell ref="D3:D4"/>
    <mergeCell ref="E3:E4"/>
    <mergeCell ref="F3:F4"/>
    <mergeCell ref="G3:J3"/>
    <mergeCell ref="K3:N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E13" sqref="E13"/>
    </sheetView>
  </sheetViews>
  <sheetFormatPr defaultRowHeight="12.75" x14ac:dyDescent="0.2"/>
  <cols>
    <col min="1" max="1" width="26" style="4" bestFit="1" customWidth="1"/>
    <col min="2" max="2" width="28.5703125" style="4" bestFit="1" customWidth="1"/>
    <col min="3" max="3" width="15.5703125" style="4" bestFit="1" customWidth="1"/>
    <col min="4" max="4" width="11.85546875" style="4" bestFit="1" customWidth="1"/>
    <col min="5" max="5" width="32.28515625" style="4" bestFit="1" customWidth="1"/>
    <col min="6" max="6" width="30.28515625" style="4" bestFit="1" customWidth="1"/>
    <col min="7" max="9" width="4.5703125" style="3" customWidth="1"/>
    <col min="10" max="10" width="4.85546875" style="3" customWidth="1"/>
    <col min="11" max="11" width="7.85546875" style="10" bestFit="1" customWidth="1"/>
    <col min="12" max="12" width="7.5703125" style="2" bestFit="1" customWidth="1"/>
    <col min="13" max="13" width="16.85546875" style="4" bestFit="1" customWidth="1"/>
    <col min="14" max="16384" width="9.140625" style="3"/>
  </cols>
  <sheetData>
    <row r="1" spans="1:13" s="2" customFormat="1" ht="29.1" customHeight="1" x14ac:dyDescent="0.2">
      <c r="A1" s="39" t="s">
        <v>477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s="2" customFormat="1" ht="62.1" customHeight="1" thickBot="1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4"/>
    </row>
    <row r="3" spans="1:13" s="1" customFormat="1" ht="12.75" customHeight="1" x14ac:dyDescent="0.2">
      <c r="A3" s="45" t="s">
        <v>0</v>
      </c>
      <c r="B3" s="47" t="s">
        <v>6</v>
      </c>
      <c r="C3" s="47" t="s">
        <v>10</v>
      </c>
      <c r="D3" s="49" t="s">
        <v>11</v>
      </c>
      <c r="E3" s="49" t="s">
        <v>4</v>
      </c>
      <c r="F3" s="49" t="s">
        <v>7</v>
      </c>
      <c r="G3" s="49" t="s">
        <v>445</v>
      </c>
      <c r="H3" s="49"/>
      <c r="I3" s="49"/>
      <c r="J3" s="49"/>
      <c r="K3" s="49" t="s">
        <v>201</v>
      </c>
      <c r="L3" s="49" t="s">
        <v>3</v>
      </c>
      <c r="M3" s="50" t="s">
        <v>2</v>
      </c>
    </row>
    <row r="4" spans="1:13" s="1" customFormat="1" ht="21" customHeight="1" thickBot="1" x14ac:dyDescent="0.25">
      <c r="A4" s="46"/>
      <c r="B4" s="48"/>
      <c r="C4" s="48"/>
      <c r="D4" s="48"/>
      <c r="E4" s="48"/>
      <c r="F4" s="48"/>
      <c r="G4" s="5">
        <v>1</v>
      </c>
      <c r="H4" s="5">
        <v>2</v>
      </c>
      <c r="I4" s="5">
        <v>3</v>
      </c>
      <c r="J4" s="5" t="s">
        <v>5</v>
      </c>
      <c r="K4" s="48"/>
      <c r="L4" s="48"/>
      <c r="M4" s="51"/>
    </row>
    <row r="5" spans="1:13" ht="15" x14ac:dyDescent="0.2">
      <c r="A5" s="52" t="s">
        <v>107</v>
      </c>
      <c r="B5" s="53"/>
      <c r="C5" s="53"/>
      <c r="D5" s="53"/>
      <c r="E5" s="53"/>
      <c r="F5" s="53"/>
      <c r="G5" s="53"/>
      <c r="H5" s="53"/>
      <c r="I5" s="53"/>
      <c r="J5" s="53"/>
    </row>
    <row r="6" spans="1:13" x14ac:dyDescent="0.2">
      <c r="A6" s="6" t="s">
        <v>439</v>
      </c>
      <c r="B6" s="6" t="s">
        <v>440</v>
      </c>
      <c r="C6" s="6" t="s">
        <v>441</v>
      </c>
      <c r="D6" s="6" t="str">
        <f>"0,5714"</f>
        <v>0,5714</v>
      </c>
      <c r="E6" s="6" t="s">
        <v>170</v>
      </c>
      <c r="F6" s="6" t="s">
        <v>171</v>
      </c>
      <c r="G6" s="8" t="s">
        <v>112</v>
      </c>
      <c r="H6" s="8" t="s">
        <v>75</v>
      </c>
      <c r="I6" s="7" t="s">
        <v>67</v>
      </c>
      <c r="J6" s="7"/>
      <c r="K6" s="11" t="str">
        <f>"70,0"</f>
        <v>70,0</v>
      </c>
      <c r="L6" s="12" t="str">
        <f>"42,7579"</f>
        <v>42,7579</v>
      </c>
      <c r="M6" s="6" t="s">
        <v>442</v>
      </c>
    </row>
    <row r="8" spans="1:13" ht="15" x14ac:dyDescent="0.2">
      <c r="E8" s="9" t="s">
        <v>28</v>
      </c>
      <c r="F8" s="34" t="s">
        <v>520</v>
      </c>
    </row>
    <row r="9" spans="1:13" ht="15" x14ac:dyDescent="0.2">
      <c r="E9" s="9" t="s">
        <v>29</v>
      </c>
      <c r="F9" s="34" t="s">
        <v>523</v>
      </c>
    </row>
    <row r="10" spans="1:13" ht="15" x14ac:dyDescent="0.2">
      <c r="E10" s="9" t="s">
        <v>30</v>
      </c>
      <c r="F10" s="34" t="s">
        <v>521</v>
      </c>
    </row>
    <row r="11" spans="1:13" ht="15" x14ac:dyDescent="0.2">
      <c r="E11" s="9" t="s">
        <v>31</v>
      </c>
      <c r="F11" s="34" t="s">
        <v>524</v>
      </c>
    </row>
    <row r="12" spans="1:13" ht="15" x14ac:dyDescent="0.2">
      <c r="E12" s="9" t="s">
        <v>31</v>
      </c>
      <c r="F12" s="34" t="s">
        <v>522</v>
      </c>
    </row>
    <row r="13" spans="1:13" ht="15" x14ac:dyDescent="0.2">
      <c r="E13" s="9"/>
    </row>
    <row r="14" spans="1:13" ht="15" x14ac:dyDescent="0.2">
      <c r="E14" s="9"/>
    </row>
    <row r="16" spans="1:13" ht="18" x14ac:dyDescent="0.25">
      <c r="A16" s="13" t="s">
        <v>32</v>
      </c>
      <c r="B16" s="13"/>
    </row>
    <row r="17" spans="1:5" ht="15" x14ac:dyDescent="0.2">
      <c r="A17" s="14" t="s">
        <v>120</v>
      </c>
      <c r="B17" s="14"/>
    </row>
    <row r="18" spans="1:5" ht="14.25" x14ac:dyDescent="0.2">
      <c r="A18" s="16"/>
      <c r="B18" s="17" t="s">
        <v>34</v>
      </c>
    </row>
    <row r="19" spans="1:5" ht="15" x14ac:dyDescent="0.2">
      <c r="A19" s="18" t="s">
        <v>35</v>
      </c>
      <c r="B19" s="18" t="s">
        <v>36</v>
      </c>
      <c r="C19" s="18" t="s">
        <v>37</v>
      </c>
      <c r="D19" s="18" t="s">
        <v>193</v>
      </c>
      <c r="E19" s="18" t="s">
        <v>39</v>
      </c>
    </row>
    <row r="20" spans="1:5" x14ac:dyDescent="0.2">
      <c r="A20" s="15" t="s">
        <v>438</v>
      </c>
      <c r="B20" s="4" t="s">
        <v>40</v>
      </c>
      <c r="C20" s="4" t="s">
        <v>123</v>
      </c>
      <c r="D20" s="4" t="s">
        <v>75</v>
      </c>
      <c r="E20" s="10" t="s">
        <v>478</v>
      </c>
    </row>
  </sheetData>
  <mergeCells count="12">
    <mergeCell ref="K3:K4"/>
    <mergeCell ref="L3:L4"/>
    <mergeCell ref="M3:M4"/>
    <mergeCell ref="A5:J5"/>
    <mergeCell ref="A1:M2"/>
    <mergeCell ref="A3:A4"/>
    <mergeCell ref="B3:B4"/>
    <mergeCell ref="C3:C4"/>
    <mergeCell ref="D3:D4"/>
    <mergeCell ref="E3:E4"/>
    <mergeCell ref="F3:F4"/>
    <mergeCell ref="G3:J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opLeftCell="A10" workbookViewId="0">
      <selection activeCell="A10" sqref="A10"/>
    </sheetView>
  </sheetViews>
  <sheetFormatPr defaultRowHeight="12.75" x14ac:dyDescent="0.2"/>
  <cols>
    <col min="1" max="1" width="26" style="4" bestFit="1" customWidth="1"/>
    <col min="2" max="2" width="28.5703125" style="4" bestFit="1" customWidth="1"/>
    <col min="3" max="3" width="15.5703125" style="4" bestFit="1" customWidth="1"/>
    <col min="4" max="4" width="11.85546875" style="4" bestFit="1" customWidth="1"/>
    <col min="5" max="5" width="32.28515625" style="4" bestFit="1" customWidth="1"/>
    <col min="6" max="6" width="30.28515625" style="4" bestFit="1" customWidth="1"/>
    <col min="7" max="9" width="4.5703125" style="3" customWidth="1"/>
    <col min="10" max="10" width="4.85546875" style="3" customWidth="1"/>
    <col min="11" max="11" width="7.85546875" style="10" bestFit="1" customWidth="1"/>
    <col min="12" max="12" width="7.5703125" style="2" bestFit="1" customWidth="1"/>
    <col min="13" max="13" width="17.85546875" style="4" bestFit="1" customWidth="1"/>
    <col min="14" max="16384" width="9.140625" style="3"/>
  </cols>
  <sheetData>
    <row r="1" spans="1:13" s="2" customFormat="1" ht="29.1" customHeight="1" x14ac:dyDescent="0.2">
      <c r="A1" s="39" t="s">
        <v>444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s="2" customFormat="1" ht="62.1" customHeight="1" thickBot="1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4"/>
    </row>
    <row r="3" spans="1:13" s="1" customFormat="1" ht="12.75" customHeight="1" x14ac:dyDescent="0.2">
      <c r="A3" s="45" t="s">
        <v>0</v>
      </c>
      <c r="B3" s="47" t="s">
        <v>6</v>
      </c>
      <c r="C3" s="47" t="s">
        <v>10</v>
      </c>
      <c r="D3" s="49" t="s">
        <v>11</v>
      </c>
      <c r="E3" s="49" t="s">
        <v>4</v>
      </c>
      <c r="F3" s="49" t="s">
        <v>7</v>
      </c>
      <c r="G3" s="49" t="s">
        <v>445</v>
      </c>
      <c r="H3" s="49"/>
      <c r="I3" s="49"/>
      <c r="J3" s="49"/>
      <c r="K3" s="49" t="s">
        <v>201</v>
      </c>
      <c r="L3" s="49" t="s">
        <v>3</v>
      </c>
      <c r="M3" s="50" t="s">
        <v>2</v>
      </c>
    </row>
    <row r="4" spans="1:13" s="1" customFormat="1" ht="21" customHeight="1" thickBot="1" x14ac:dyDescent="0.25">
      <c r="A4" s="46"/>
      <c r="B4" s="48"/>
      <c r="C4" s="48"/>
      <c r="D4" s="48"/>
      <c r="E4" s="48"/>
      <c r="F4" s="48"/>
      <c r="G4" s="5">
        <v>1</v>
      </c>
      <c r="H4" s="5">
        <v>2</v>
      </c>
      <c r="I4" s="5">
        <v>3</v>
      </c>
      <c r="J4" s="5" t="s">
        <v>5</v>
      </c>
      <c r="K4" s="48"/>
      <c r="L4" s="48"/>
      <c r="M4" s="51"/>
    </row>
    <row r="5" spans="1:13" ht="15" x14ac:dyDescent="0.2">
      <c r="A5" s="52" t="s">
        <v>15</v>
      </c>
      <c r="B5" s="53"/>
      <c r="C5" s="53"/>
      <c r="D5" s="53"/>
      <c r="E5" s="53"/>
      <c r="F5" s="53"/>
      <c r="G5" s="53"/>
      <c r="H5" s="53"/>
      <c r="I5" s="53"/>
      <c r="J5" s="53"/>
    </row>
    <row r="6" spans="1:13" x14ac:dyDescent="0.2">
      <c r="A6" s="6" t="s">
        <v>233</v>
      </c>
      <c r="B6" s="6" t="s">
        <v>234</v>
      </c>
      <c r="C6" s="6" t="s">
        <v>235</v>
      </c>
      <c r="D6" s="6" t="str">
        <f>"0,8831"</f>
        <v>0,8831</v>
      </c>
      <c r="E6" s="6" t="s">
        <v>207</v>
      </c>
      <c r="F6" s="6" t="s">
        <v>208</v>
      </c>
      <c r="G6" s="8" t="s">
        <v>446</v>
      </c>
      <c r="H6" s="8" t="s">
        <v>143</v>
      </c>
      <c r="I6" s="8" t="s">
        <v>447</v>
      </c>
      <c r="J6" s="7"/>
      <c r="K6" s="11" t="str">
        <f>"32,5"</f>
        <v>32,5</v>
      </c>
      <c r="L6" s="12" t="str">
        <f>"28,7024"</f>
        <v>28,7024</v>
      </c>
      <c r="M6" s="6" t="s">
        <v>210</v>
      </c>
    </row>
    <row r="8" spans="1:13" ht="15" x14ac:dyDescent="0.2">
      <c r="A8" s="54" t="s">
        <v>59</v>
      </c>
      <c r="B8" s="54"/>
      <c r="C8" s="54"/>
      <c r="D8" s="54"/>
      <c r="E8" s="54"/>
      <c r="F8" s="54"/>
      <c r="G8" s="54"/>
      <c r="H8" s="54"/>
      <c r="I8" s="54"/>
      <c r="J8" s="54"/>
    </row>
    <row r="9" spans="1:13" x14ac:dyDescent="0.2">
      <c r="A9" s="6" t="s">
        <v>239</v>
      </c>
      <c r="B9" s="6" t="s">
        <v>240</v>
      </c>
      <c r="C9" s="6" t="s">
        <v>241</v>
      </c>
      <c r="D9" s="6" t="str">
        <f>"0,8079"</f>
        <v>0,8079</v>
      </c>
      <c r="E9" s="6" t="s">
        <v>50</v>
      </c>
      <c r="F9" s="6" t="s">
        <v>51</v>
      </c>
      <c r="G9" s="8" t="s">
        <v>448</v>
      </c>
      <c r="H9" s="7" t="s">
        <v>446</v>
      </c>
      <c r="I9" s="8" t="s">
        <v>446</v>
      </c>
      <c r="J9" s="7"/>
      <c r="K9" s="11" t="str">
        <f>"27,5"</f>
        <v>27,5</v>
      </c>
      <c r="L9" s="12" t="str">
        <f>"22,2159"</f>
        <v>22,2159</v>
      </c>
      <c r="M9" s="6" t="s">
        <v>58</v>
      </c>
    </row>
    <row r="11" spans="1:13" ht="15" x14ac:dyDescent="0.2">
      <c r="A11" s="54" t="s">
        <v>165</v>
      </c>
      <c r="B11" s="54"/>
      <c r="C11" s="54"/>
      <c r="D11" s="54"/>
      <c r="E11" s="54"/>
      <c r="F11" s="54"/>
      <c r="G11" s="54"/>
      <c r="H11" s="54"/>
      <c r="I11" s="54"/>
      <c r="J11" s="54"/>
    </row>
    <row r="12" spans="1:13" x14ac:dyDescent="0.2">
      <c r="A12" s="6" t="s">
        <v>167</v>
      </c>
      <c r="B12" s="6" t="s">
        <v>168</v>
      </c>
      <c r="C12" s="6" t="s">
        <v>169</v>
      </c>
      <c r="D12" s="6" t="str">
        <f>"0,6666"</f>
        <v>0,6666</v>
      </c>
      <c r="E12" s="6" t="s">
        <v>170</v>
      </c>
      <c r="F12" s="6" t="s">
        <v>171</v>
      </c>
      <c r="G12" s="8" t="s">
        <v>56</v>
      </c>
      <c r="H12" s="8" t="s">
        <v>112</v>
      </c>
      <c r="I12" s="8" t="s">
        <v>75</v>
      </c>
      <c r="J12" s="7"/>
      <c r="K12" s="11" t="str">
        <f>"70,0"</f>
        <v>70,0</v>
      </c>
      <c r="L12" s="12" t="str">
        <f>"46,6620"</f>
        <v>46,6620</v>
      </c>
      <c r="M12" s="6" t="s">
        <v>91</v>
      </c>
    </row>
    <row r="14" spans="1:13" ht="15" x14ac:dyDescent="0.2">
      <c r="A14" s="54" t="s">
        <v>69</v>
      </c>
      <c r="B14" s="54"/>
      <c r="C14" s="54"/>
      <c r="D14" s="54"/>
      <c r="E14" s="54"/>
      <c r="F14" s="54"/>
      <c r="G14" s="54"/>
      <c r="H14" s="54"/>
      <c r="I14" s="54"/>
      <c r="J14" s="54"/>
    </row>
    <row r="15" spans="1:13" x14ac:dyDescent="0.2">
      <c r="A15" s="19" t="s">
        <v>450</v>
      </c>
      <c r="B15" s="19" t="s">
        <v>451</v>
      </c>
      <c r="C15" s="19" t="s">
        <v>452</v>
      </c>
      <c r="D15" s="19" t="str">
        <f>"0,6307"</f>
        <v>0,6307</v>
      </c>
      <c r="E15" s="19" t="s">
        <v>170</v>
      </c>
      <c r="F15" s="19" t="s">
        <v>171</v>
      </c>
      <c r="G15" s="20" t="s">
        <v>67</v>
      </c>
      <c r="H15" s="20" t="s">
        <v>453</v>
      </c>
      <c r="I15" s="20" t="s">
        <v>53</v>
      </c>
      <c r="J15" s="21"/>
      <c r="K15" s="28" t="str">
        <f>"80,0"</f>
        <v>80,0</v>
      </c>
      <c r="L15" s="29" t="str">
        <f>"50,4560"</f>
        <v>50,4560</v>
      </c>
      <c r="M15" s="19" t="s">
        <v>454</v>
      </c>
    </row>
    <row r="16" spans="1:13" x14ac:dyDescent="0.2">
      <c r="A16" s="25" t="s">
        <v>456</v>
      </c>
      <c r="B16" s="25" t="s">
        <v>457</v>
      </c>
      <c r="C16" s="25" t="s">
        <v>458</v>
      </c>
      <c r="D16" s="25" t="str">
        <f>"0,6461"</f>
        <v>0,6461</v>
      </c>
      <c r="E16" s="25" t="s">
        <v>170</v>
      </c>
      <c r="F16" s="25" t="s">
        <v>171</v>
      </c>
      <c r="G16" s="26" t="s">
        <v>56</v>
      </c>
      <c r="H16" s="26" t="s">
        <v>226</v>
      </c>
      <c r="I16" s="26" t="s">
        <v>112</v>
      </c>
      <c r="J16" s="27"/>
      <c r="K16" s="32" t="str">
        <f>"65,0"</f>
        <v>65,0</v>
      </c>
      <c r="L16" s="33" t="str">
        <f>"41,9965"</f>
        <v>41,9965</v>
      </c>
      <c r="M16" s="25" t="s">
        <v>442</v>
      </c>
    </row>
    <row r="18" spans="1:13" ht="15" x14ac:dyDescent="0.2">
      <c r="A18" s="54" t="s">
        <v>77</v>
      </c>
      <c r="B18" s="54"/>
      <c r="C18" s="54"/>
      <c r="D18" s="54"/>
      <c r="E18" s="54"/>
      <c r="F18" s="54"/>
      <c r="G18" s="54"/>
      <c r="H18" s="54"/>
      <c r="I18" s="54"/>
      <c r="J18" s="54"/>
    </row>
    <row r="19" spans="1:13" x14ac:dyDescent="0.2">
      <c r="A19" s="19" t="s">
        <v>459</v>
      </c>
      <c r="B19" s="19" t="s">
        <v>101</v>
      </c>
      <c r="C19" s="19" t="s">
        <v>102</v>
      </c>
      <c r="D19" s="19" t="str">
        <f>"0,6009"</f>
        <v>0,6009</v>
      </c>
      <c r="E19" s="19" t="s">
        <v>50</v>
      </c>
      <c r="F19" s="19" t="s">
        <v>51</v>
      </c>
      <c r="G19" s="20" t="s">
        <v>55</v>
      </c>
      <c r="H19" s="20" t="s">
        <v>24</v>
      </c>
      <c r="I19" s="20" t="s">
        <v>112</v>
      </c>
      <c r="J19" s="21"/>
      <c r="K19" s="28" t="str">
        <f>"65,0"</f>
        <v>65,0</v>
      </c>
      <c r="L19" s="29" t="str">
        <f>"39,0585"</f>
        <v>39,0585</v>
      </c>
      <c r="M19" s="19" t="s">
        <v>58</v>
      </c>
    </row>
    <row r="20" spans="1:13" x14ac:dyDescent="0.2">
      <c r="A20" s="25" t="s">
        <v>393</v>
      </c>
      <c r="B20" s="25" t="s">
        <v>394</v>
      </c>
      <c r="C20" s="25" t="s">
        <v>395</v>
      </c>
      <c r="D20" s="25" t="str">
        <f>"0,5947"</f>
        <v>0,5947</v>
      </c>
      <c r="E20" s="25" t="s">
        <v>207</v>
      </c>
      <c r="F20" s="25" t="s">
        <v>208</v>
      </c>
      <c r="G20" s="26" t="s">
        <v>248</v>
      </c>
      <c r="H20" s="26" t="s">
        <v>460</v>
      </c>
      <c r="I20" s="26" t="s">
        <v>55</v>
      </c>
      <c r="J20" s="27"/>
      <c r="K20" s="32" t="str">
        <f>"55,0"</f>
        <v>55,0</v>
      </c>
      <c r="L20" s="33" t="str">
        <f>"53,8055"</f>
        <v>53,8055</v>
      </c>
      <c r="M20" s="25" t="s">
        <v>210</v>
      </c>
    </row>
    <row r="22" spans="1:13" ht="15" x14ac:dyDescent="0.2">
      <c r="A22" s="54" t="s">
        <v>107</v>
      </c>
      <c r="B22" s="54"/>
      <c r="C22" s="54"/>
      <c r="D22" s="54"/>
      <c r="E22" s="54"/>
      <c r="F22" s="54"/>
      <c r="G22" s="54"/>
      <c r="H22" s="54"/>
      <c r="I22" s="54"/>
      <c r="J22" s="54"/>
    </row>
    <row r="23" spans="1:13" x14ac:dyDescent="0.2">
      <c r="A23" s="19" t="s">
        <v>461</v>
      </c>
      <c r="B23" s="19" t="s">
        <v>267</v>
      </c>
      <c r="C23" s="19" t="s">
        <v>268</v>
      </c>
      <c r="D23" s="19" t="str">
        <f>"0,5678"</f>
        <v>0,5678</v>
      </c>
      <c r="E23" s="19" t="s">
        <v>183</v>
      </c>
      <c r="F23" s="19" t="s">
        <v>184</v>
      </c>
      <c r="G23" s="20" t="s">
        <v>226</v>
      </c>
      <c r="H23" s="20" t="s">
        <v>75</v>
      </c>
      <c r="I23" s="21" t="s">
        <v>52</v>
      </c>
      <c r="J23" s="21"/>
      <c r="K23" s="28" t="str">
        <f>"70,0"</f>
        <v>70,0</v>
      </c>
      <c r="L23" s="29" t="str">
        <f>"40,1435"</f>
        <v>40,1435</v>
      </c>
      <c r="M23" s="19" t="s">
        <v>186</v>
      </c>
    </row>
    <row r="24" spans="1:13" x14ac:dyDescent="0.2">
      <c r="A24" s="22" t="s">
        <v>462</v>
      </c>
      <c r="B24" s="22" t="s">
        <v>285</v>
      </c>
      <c r="C24" s="22" t="s">
        <v>286</v>
      </c>
      <c r="D24" s="22" t="str">
        <f>"0,5654"</f>
        <v>0,5654</v>
      </c>
      <c r="E24" s="22" t="s">
        <v>207</v>
      </c>
      <c r="F24" s="22" t="s">
        <v>208</v>
      </c>
      <c r="G24" s="24" t="s">
        <v>75</v>
      </c>
      <c r="H24" s="24" t="s">
        <v>453</v>
      </c>
      <c r="I24" s="24" t="s">
        <v>463</v>
      </c>
      <c r="J24" s="23"/>
      <c r="K24" s="30" t="str">
        <f>"82,5"</f>
        <v>82,5</v>
      </c>
      <c r="L24" s="31" t="str">
        <f>"46,6455"</f>
        <v>46,6455</v>
      </c>
      <c r="M24" s="22" t="s">
        <v>210</v>
      </c>
    </row>
    <row r="25" spans="1:13" x14ac:dyDescent="0.2">
      <c r="A25" s="25" t="s">
        <v>464</v>
      </c>
      <c r="B25" s="25" t="s">
        <v>272</v>
      </c>
      <c r="C25" s="25" t="s">
        <v>273</v>
      </c>
      <c r="D25" s="25" t="str">
        <f>"0,5556"</f>
        <v>0,5556</v>
      </c>
      <c r="E25" s="25" t="s">
        <v>82</v>
      </c>
      <c r="F25" s="25" t="s">
        <v>51</v>
      </c>
      <c r="G25" s="26" t="s">
        <v>55</v>
      </c>
      <c r="H25" s="26" t="s">
        <v>112</v>
      </c>
      <c r="I25" s="26" t="s">
        <v>75</v>
      </c>
      <c r="J25" s="27"/>
      <c r="K25" s="32" t="str">
        <f>"70,0"</f>
        <v>70,0</v>
      </c>
      <c r="L25" s="33" t="str">
        <f>"38,8955"</f>
        <v>38,8955</v>
      </c>
      <c r="M25" s="25" t="s">
        <v>91</v>
      </c>
    </row>
    <row r="27" spans="1:13" ht="15" x14ac:dyDescent="0.2">
      <c r="A27" s="54" t="s">
        <v>287</v>
      </c>
      <c r="B27" s="54"/>
      <c r="C27" s="54"/>
      <c r="D27" s="54"/>
      <c r="E27" s="54"/>
      <c r="F27" s="54"/>
      <c r="G27" s="54"/>
      <c r="H27" s="54"/>
      <c r="I27" s="54"/>
      <c r="J27" s="54"/>
    </row>
    <row r="28" spans="1:13" x14ac:dyDescent="0.2">
      <c r="A28" s="6" t="s">
        <v>289</v>
      </c>
      <c r="B28" s="6" t="s">
        <v>293</v>
      </c>
      <c r="C28" s="6" t="s">
        <v>291</v>
      </c>
      <c r="D28" s="6" t="str">
        <f>"0,5446"</f>
        <v>0,5446</v>
      </c>
      <c r="E28" s="6" t="s">
        <v>207</v>
      </c>
      <c r="F28" s="6" t="s">
        <v>208</v>
      </c>
      <c r="G28" s="8" t="s">
        <v>56</v>
      </c>
      <c r="H28" s="8" t="s">
        <v>52</v>
      </c>
      <c r="I28" s="8" t="s">
        <v>463</v>
      </c>
      <c r="J28" s="7"/>
      <c r="K28" s="11" t="str">
        <f>"82,5"</f>
        <v>82,5</v>
      </c>
      <c r="L28" s="12" t="str">
        <f>"45,7382"</f>
        <v>45,7382</v>
      </c>
      <c r="M28" s="6" t="s">
        <v>210</v>
      </c>
    </row>
    <row r="30" spans="1:13" ht="15" x14ac:dyDescent="0.2">
      <c r="A30" s="54" t="s">
        <v>294</v>
      </c>
      <c r="B30" s="54"/>
      <c r="C30" s="54"/>
      <c r="D30" s="54"/>
      <c r="E30" s="54"/>
      <c r="F30" s="54"/>
      <c r="G30" s="54"/>
      <c r="H30" s="54"/>
      <c r="I30" s="54"/>
      <c r="J30" s="54"/>
    </row>
    <row r="31" spans="1:13" x14ac:dyDescent="0.2">
      <c r="A31" s="6" t="s">
        <v>296</v>
      </c>
      <c r="B31" s="6" t="s">
        <v>297</v>
      </c>
      <c r="C31" s="6" t="s">
        <v>298</v>
      </c>
      <c r="D31" s="6" t="str">
        <f>"0,5349"</f>
        <v>0,5349</v>
      </c>
      <c r="E31" s="6" t="s">
        <v>207</v>
      </c>
      <c r="F31" s="6" t="s">
        <v>208</v>
      </c>
      <c r="G31" s="8" t="s">
        <v>52</v>
      </c>
      <c r="H31" s="7" t="s">
        <v>53</v>
      </c>
      <c r="I31" s="8" t="s">
        <v>64</v>
      </c>
      <c r="J31" s="7"/>
      <c r="K31" s="11" t="str">
        <f>"85,0"</f>
        <v>85,0</v>
      </c>
      <c r="L31" s="12" t="str">
        <f>"45,4623"</f>
        <v>45,4623</v>
      </c>
      <c r="M31" s="6" t="s">
        <v>210</v>
      </c>
    </row>
    <row r="33" spans="1:6" ht="15" x14ac:dyDescent="0.2">
      <c r="E33" s="9" t="s">
        <v>28</v>
      </c>
      <c r="F33" s="34" t="s">
        <v>520</v>
      </c>
    </row>
    <row r="34" spans="1:6" ht="15" x14ac:dyDescent="0.2">
      <c r="E34" s="9" t="s">
        <v>29</v>
      </c>
      <c r="F34" s="34" t="s">
        <v>523</v>
      </c>
    </row>
    <row r="35" spans="1:6" ht="15" x14ac:dyDescent="0.2">
      <c r="E35" s="9" t="s">
        <v>30</v>
      </c>
      <c r="F35" s="34" t="s">
        <v>521</v>
      </c>
    </row>
    <row r="36" spans="1:6" ht="15" x14ac:dyDescent="0.2">
      <c r="E36" s="9" t="s">
        <v>31</v>
      </c>
      <c r="F36" s="34" t="s">
        <v>524</v>
      </c>
    </row>
    <row r="37" spans="1:6" ht="15" x14ac:dyDescent="0.2">
      <c r="E37" s="9" t="s">
        <v>31</v>
      </c>
      <c r="F37" s="34" t="s">
        <v>522</v>
      </c>
    </row>
    <row r="38" spans="1:6" ht="15" x14ac:dyDescent="0.2">
      <c r="E38" s="9"/>
    </row>
    <row r="39" spans="1:6" ht="15" x14ac:dyDescent="0.2">
      <c r="E39" s="9"/>
    </row>
    <row r="41" spans="1:6" ht="18" x14ac:dyDescent="0.25">
      <c r="A41" s="13" t="s">
        <v>32</v>
      </c>
      <c r="B41" s="13"/>
    </row>
    <row r="42" spans="1:6" ht="15" x14ac:dyDescent="0.2">
      <c r="A42" s="14" t="s">
        <v>33</v>
      </c>
      <c r="B42" s="14"/>
    </row>
    <row r="43" spans="1:6" ht="14.25" x14ac:dyDescent="0.2">
      <c r="A43" s="16"/>
      <c r="B43" s="17" t="s">
        <v>113</v>
      </c>
    </row>
    <row r="44" spans="1:6" ht="15" x14ac:dyDescent="0.2">
      <c r="A44" s="18" t="s">
        <v>35</v>
      </c>
      <c r="B44" s="18" t="s">
        <v>36</v>
      </c>
      <c r="C44" s="18" t="s">
        <v>37</v>
      </c>
      <c r="D44" s="18" t="s">
        <v>193</v>
      </c>
      <c r="E44" s="18" t="s">
        <v>39</v>
      </c>
    </row>
    <row r="45" spans="1:6" x14ac:dyDescent="0.2">
      <c r="A45" s="15" t="s">
        <v>232</v>
      </c>
      <c r="B45" s="4" t="s">
        <v>113</v>
      </c>
      <c r="C45" s="4" t="s">
        <v>41</v>
      </c>
      <c r="D45" s="4" t="s">
        <v>447</v>
      </c>
      <c r="E45" s="10" t="s">
        <v>465</v>
      </c>
    </row>
    <row r="46" spans="1:6" x14ac:dyDescent="0.2">
      <c r="A46" s="15" t="s">
        <v>238</v>
      </c>
      <c r="B46" s="4" t="s">
        <v>113</v>
      </c>
      <c r="C46" s="4" t="s">
        <v>117</v>
      </c>
      <c r="D46" s="4" t="s">
        <v>446</v>
      </c>
      <c r="E46" s="10" t="s">
        <v>466</v>
      </c>
    </row>
    <row r="49" spans="1:5" ht="15" x14ac:dyDescent="0.2">
      <c r="A49" s="14" t="s">
        <v>120</v>
      </c>
      <c r="B49" s="14"/>
    </row>
    <row r="50" spans="1:5" ht="14.25" x14ac:dyDescent="0.2">
      <c r="A50" s="16"/>
      <c r="B50" s="17" t="s">
        <v>192</v>
      </c>
    </row>
    <row r="51" spans="1:5" ht="15" x14ac:dyDescent="0.2">
      <c r="A51" s="18" t="s">
        <v>35</v>
      </c>
      <c r="B51" s="18" t="s">
        <v>36</v>
      </c>
      <c r="C51" s="18" t="s">
        <v>37</v>
      </c>
      <c r="D51" s="18" t="s">
        <v>193</v>
      </c>
      <c r="E51" s="18" t="s">
        <v>39</v>
      </c>
    </row>
    <row r="52" spans="1:5" x14ac:dyDescent="0.2">
      <c r="A52" s="15" t="s">
        <v>265</v>
      </c>
      <c r="B52" s="4" t="s">
        <v>194</v>
      </c>
      <c r="C52" s="4" t="s">
        <v>123</v>
      </c>
      <c r="D52" s="4" t="s">
        <v>75</v>
      </c>
      <c r="E52" s="10" t="s">
        <v>467</v>
      </c>
    </row>
    <row r="54" spans="1:5" ht="14.25" x14ac:dyDescent="0.2">
      <c r="A54" s="16"/>
      <c r="B54" s="17" t="s">
        <v>113</v>
      </c>
    </row>
    <row r="55" spans="1:5" ht="15" x14ac:dyDescent="0.2">
      <c r="A55" s="18" t="s">
        <v>35</v>
      </c>
      <c r="B55" s="18" t="s">
        <v>36</v>
      </c>
      <c r="C55" s="18" t="s">
        <v>37</v>
      </c>
      <c r="D55" s="18" t="s">
        <v>193</v>
      </c>
      <c r="E55" s="18" t="s">
        <v>39</v>
      </c>
    </row>
    <row r="56" spans="1:5" x14ac:dyDescent="0.2">
      <c r="A56" s="15" t="s">
        <v>449</v>
      </c>
      <c r="B56" s="4" t="s">
        <v>113</v>
      </c>
      <c r="C56" s="4" t="s">
        <v>127</v>
      </c>
      <c r="D56" s="4" t="s">
        <v>53</v>
      </c>
      <c r="E56" s="10" t="s">
        <v>468</v>
      </c>
    </row>
    <row r="57" spans="1:5" x14ac:dyDescent="0.2">
      <c r="A57" s="15" t="s">
        <v>166</v>
      </c>
      <c r="B57" s="4" t="s">
        <v>113</v>
      </c>
      <c r="C57" s="4" t="s">
        <v>197</v>
      </c>
      <c r="D57" s="4" t="s">
        <v>75</v>
      </c>
      <c r="E57" s="10" t="s">
        <v>469</v>
      </c>
    </row>
    <row r="58" spans="1:5" x14ac:dyDescent="0.2">
      <c r="A58" s="15" t="s">
        <v>283</v>
      </c>
      <c r="B58" s="4" t="s">
        <v>113</v>
      </c>
      <c r="C58" s="4" t="s">
        <v>123</v>
      </c>
      <c r="D58" s="4" t="s">
        <v>463</v>
      </c>
      <c r="E58" s="10" t="s">
        <v>470</v>
      </c>
    </row>
    <row r="59" spans="1:5" x14ac:dyDescent="0.2">
      <c r="A59" s="15" t="s">
        <v>295</v>
      </c>
      <c r="B59" s="4" t="s">
        <v>113</v>
      </c>
      <c r="C59" s="4" t="s">
        <v>317</v>
      </c>
      <c r="D59" s="4" t="s">
        <v>64</v>
      </c>
      <c r="E59" s="10" t="s">
        <v>471</v>
      </c>
    </row>
    <row r="60" spans="1:5" x14ac:dyDescent="0.2">
      <c r="A60" s="15" t="s">
        <v>455</v>
      </c>
      <c r="B60" s="4" t="s">
        <v>113</v>
      </c>
      <c r="C60" s="4" t="s">
        <v>127</v>
      </c>
      <c r="D60" s="4" t="s">
        <v>112</v>
      </c>
      <c r="E60" s="10" t="s">
        <v>472</v>
      </c>
    </row>
    <row r="61" spans="1:5" x14ac:dyDescent="0.2">
      <c r="A61" s="15" t="s">
        <v>99</v>
      </c>
      <c r="B61" s="4" t="s">
        <v>113</v>
      </c>
      <c r="C61" s="4" t="s">
        <v>130</v>
      </c>
      <c r="D61" s="4" t="s">
        <v>112</v>
      </c>
      <c r="E61" s="10" t="s">
        <v>473</v>
      </c>
    </row>
    <row r="62" spans="1:5" x14ac:dyDescent="0.2">
      <c r="A62" s="15" t="s">
        <v>270</v>
      </c>
      <c r="B62" s="4" t="s">
        <v>113</v>
      </c>
      <c r="C62" s="4" t="s">
        <v>123</v>
      </c>
      <c r="D62" s="4" t="s">
        <v>75</v>
      </c>
      <c r="E62" s="10" t="s">
        <v>474</v>
      </c>
    </row>
    <row r="64" spans="1:5" ht="14.25" x14ac:dyDescent="0.2">
      <c r="A64" s="16"/>
      <c r="B64" s="17" t="s">
        <v>34</v>
      </c>
    </row>
    <row r="65" spans="1:5" ht="15" x14ac:dyDescent="0.2">
      <c r="A65" s="18" t="s">
        <v>35</v>
      </c>
      <c r="B65" s="18" t="s">
        <v>36</v>
      </c>
      <c r="C65" s="18" t="s">
        <v>37</v>
      </c>
      <c r="D65" s="18" t="s">
        <v>193</v>
      </c>
      <c r="E65" s="18" t="s">
        <v>39</v>
      </c>
    </row>
    <row r="66" spans="1:5" x14ac:dyDescent="0.2">
      <c r="A66" s="15" t="s">
        <v>392</v>
      </c>
      <c r="B66" s="4" t="s">
        <v>411</v>
      </c>
      <c r="C66" s="4" t="s">
        <v>130</v>
      </c>
      <c r="D66" s="4" t="s">
        <v>55</v>
      </c>
      <c r="E66" s="10" t="s">
        <v>475</v>
      </c>
    </row>
    <row r="67" spans="1:5" x14ac:dyDescent="0.2">
      <c r="A67" s="15" t="s">
        <v>288</v>
      </c>
      <c r="B67" s="4" t="s">
        <v>323</v>
      </c>
      <c r="C67" s="4" t="s">
        <v>311</v>
      </c>
      <c r="D67" s="4" t="s">
        <v>463</v>
      </c>
      <c r="E67" s="10" t="s">
        <v>476</v>
      </c>
    </row>
  </sheetData>
  <mergeCells count="19">
    <mergeCell ref="A30:J30"/>
    <mergeCell ref="A8:J8"/>
    <mergeCell ref="A11:J11"/>
    <mergeCell ref="A14:J14"/>
    <mergeCell ref="A18:J18"/>
    <mergeCell ref="A22:J22"/>
    <mergeCell ref="A27:J27"/>
    <mergeCell ref="K3:K4"/>
    <mergeCell ref="L3:L4"/>
    <mergeCell ref="M3:M4"/>
    <mergeCell ref="A5:J5"/>
    <mergeCell ref="A1:M2"/>
    <mergeCell ref="A3:A4"/>
    <mergeCell ref="B3:B4"/>
    <mergeCell ref="C3:C4"/>
    <mergeCell ref="D3:D4"/>
    <mergeCell ref="E3:E4"/>
    <mergeCell ref="F3:F4"/>
    <mergeCell ref="G3:J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E13" sqref="E13"/>
    </sheetView>
  </sheetViews>
  <sheetFormatPr defaultRowHeight="12.75" x14ac:dyDescent="0.2"/>
  <cols>
    <col min="1" max="1" width="26" style="4" bestFit="1" customWidth="1"/>
    <col min="2" max="2" width="28.5703125" style="4" bestFit="1" customWidth="1"/>
    <col min="3" max="3" width="15.5703125" style="4" bestFit="1" customWidth="1"/>
    <col min="4" max="4" width="11.85546875" style="4" bestFit="1" customWidth="1"/>
    <col min="5" max="5" width="32.28515625" style="4" bestFit="1" customWidth="1"/>
    <col min="6" max="6" width="30.28515625" style="4" bestFit="1" customWidth="1"/>
    <col min="7" max="9" width="4.5703125" style="3" customWidth="1"/>
    <col min="10" max="10" width="4.85546875" style="3" customWidth="1"/>
    <col min="11" max="11" width="7.85546875" style="10" bestFit="1" customWidth="1"/>
    <col min="12" max="12" width="7.5703125" style="2" bestFit="1" customWidth="1"/>
    <col min="13" max="13" width="16.85546875" style="4" bestFit="1" customWidth="1"/>
    <col min="14" max="16384" width="9.140625" style="3"/>
  </cols>
  <sheetData>
    <row r="1" spans="1:13" s="2" customFormat="1" ht="29.1" customHeight="1" x14ac:dyDescent="0.2">
      <c r="A1" s="39" t="s">
        <v>436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s="2" customFormat="1" ht="62.1" customHeight="1" thickBot="1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4"/>
    </row>
    <row r="3" spans="1:13" s="1" customFormat="1" ht="12.75" customHeight="1" x14ac:dyDescent="0.2">
      <c r="A3" s="45" t="s">
        <v>0</v>
      </c>
      <c r="B3" s="47" t="s">
        <v>6</v>
      </c>
      <c r="C3" s="47" t="s">
        <v>10</v>
      </c>
      <c r="D3" s="49" t="s">
        <v>11</v>
      </c>
      <c r="E3" s="49" t="s">
        <v>4</v>
      </c>
      <c r="F3" s="49" t="s">
        <v>7</v>
      </c>
      <c r="G3" s="49" t="s">
        <v>437</v>
      </c>
      <c r="H3" s="49"/>
      <c r="I3" s="49"/>
      <c r="J3" s="49"/>
      <c r="K3" s="49" t="s">
        <v>201</v>
      </c>
      <c r="L3" s="49" t="s">
        <v>3</v>
      </c>
      <c r="M3" s="50" t="s">
        <v>2</v>
      </c>
    </row>
    <row r="4" spans="1:13" s="1" customFormat="1" ht="21" customHeight="1" thickBot="1" x14ac:dyDescent="0.25">
      <c r="A4" s="46"/>
      <c r="B4" s="48"/>
      <c r="C4" s="48"/>
      <c r="D4" s="48"/>
      <c r="E4" s="48"/>
      <c r="F4" s="48"/>
      <c r="G4" s="5">
        <v>1</v>
      </c>
      <c r="H4" s="5">
        <v>2</v>
      </c>
      <c r="I4" s="5">
        <v>3</v>
      </c>
      <c r="J4" s="5" t="s">
        <v>5</v>
      </c>
      <c r="K4" s="48"/>
      <c r="L4" s="48"/>
      <c r="M4" s="51"/>
    </row>
    <row r="5" spans="1:13" ht="15" x14ac:dyDescent="0.2">
      <c r="A5" s="52" t="s">
        <v>107</v>
      </c>
      <c r="B5" s="53"/>
      <c r="C5" s="53"/>
      <c r="D5" s="53"/>
      <c r="E5" s="53"/>
      <c r="F5" s="53"/>
      <c r="G5" s="53"/>
      <c r="H5" s="53"/>
      <c r="I5" s="53"/>
      <c r="J5" s="53"/>
    </row>
    <row r="6" spans="1:13" x14ac:dyDescent="0.2">
      <c r="A6" s="6" t="s">
        <v>439</v>
      </c>
      <c r="B6" s="6" t="s">
        <v>440</v>
      </c>
      <c r="C6" s="6" t="s">
        <v>441</v>
      </c>
      <c r="D6" s="6" t="str">
        <f>"0,5714"</f>
        <v>0,5714</v>
      </c>
      <c r="E6" s="6" t="s">
        <v>170</v>
      </c>
      <c r="F6" s="6" t="s">
        <v>171</v>
      </c>
      <c r="G6" s="7" t="s">
        <v>64</v>
      </c>
      <c r="H6" s="8" t="s">
        <v>64</v>
      </c>
      <c r="I6" s="7" t="s">
        <v>156</v>
      </c>
      <c r="J6" s="7"/>
      <c r="K6" s="11" t="str">
        <f>"85,0"</f>
        <v>85,0</v>
      </c>
      <c r="L6" s="12" t="str">
        <f>"51,9203"</f>
        <v>51,9203</v>
      </c>
      <c r="M6" s="6" t="s">
        <v>442</v>
      </c>
    </row>
    <row r="8" spans="1:13" ht="15" x14ac:dyDescent="0.2">
      <c r="E8" s="9" t="s">
        <v>28</v>
      </c>
      <c r="F8" s="34" t="s">
        <v>520</v>
      </c>
    </row>
    <row r="9" spans="1:13" ht="15" x14ac:dyDescent="0.2">
      <c r="E9" s="9" t="s">
        <v>29</v>
      </c>
      <c r="F9" s="34" t="s">
        <v>523</v>
      </c>
    </row>
    <row r="10" spans="1:13" ht="15" x14ac:dyDescent="0.2">
      <c r="E10" s="9" t="s">
        <v>30</v>
      </c>
      <c r="F10" s="34" t="s">
        <v>521</v>
      </c>
    </row>
    <row r="11" spans="1:13" ht="15" x14ac:dyDescent="0.2">
      <c r="E11" s="9" t="s">
        <v>31</v>
      </c>
      <c r="F11" s="34" t="s">
        <v>524</v>
      </c>
    </row>
    <row r="12" spans="1:13" ht="15" x14ac:dyDescent="0.2">
      <c r="E12" s="9" t="s">
        <v>31</v>
      </c>
      <c r="F12" s="34" t="s">
        <v>522</v>
      </c>
    </row>
    <row r="13" spans="1:13" ht="15" x14ac:dyDescent="0.2">
      <c r="E13" s="9"/>
    </row>
    <row r="14" spans="1:13" ht="15" x14ac:dyDescent="0.2">
      <c r="E14" s="9"/>
    </row>
    <row r="16" spans="1:13" ht="18" x14ac:dyDescent="0.25">
      <c r="A16" s="13" t="s">
        <v>32</v>
      </c>
      <c r="B16" s="13"/>
    </row>
    <row r="17" spans="1:5" ht="15" x14ac:dyDescent="0.2">
      <c r="A17" s="14" t="s">
        <v>120</v>
      </c>
      <c r="B17" s="14"/>
    </row>
    <row r="18" spans="1:5" ht="14.25" x14ac:dyDescent="0.2">
      <c r="A18" s="16"/>
      <c r="B18" s="17" t="s">
        <v>34</v>
      </c>
    </row>
    <row r="19" spans="1:5" ht="15" x14ac:dyDescent="0.2">
      <c r="A19" s="18" t="s">
        <v>35</v>
      </c>
      <c r="B19" s="18" t="s">
        <v>36</v>
      </c>
      <c r="C19" s="18" t="s">
        <v>37</v>
      </c>
      <c r="D19" s="18" t="s">
        <v>193</v>
      </c>
      <c r="E19" s="18" t="s">
        <v>39</v>
      </c>
    </row>
    <row r="20" spans="1:5" x14ac:dyDescent="0.2">
      <c r="A20" s="15" t="s">
        <v>438</v>
      </c>
      <c r="B20" s="4" t="s">
        <v>40</v>
      </c>
      <c r="C20" s="4" t="s">
        <v>123</v>
      </c>
      <c r="D20" s="4" t="s">
        <v>64</v>
      </c>
      <c r="E20" s="10" t="s">
        <v>443</v>
      </c>
    </row>
  </sheetData>
  <mergeCells count="12">
    <mergeCell ref="K3:K4"/>
    <mergeCell ref="L3:L4"/>
    <mergeCell ref="M3:M4"/>
    <mergeCell ref="A5:J5"/>
    <mergeCell ref="A1:M2"/>
    <mergeCell ref="A3:A4"/>
    <mergeCell ref="B3:B4"/>
    <mergeCell ref="C3:C4"/>
    <mergeCell ref="D3:D4"/>
    <mergeCell ref="E3:E4"/>
    <mergeCell ref="F3:F4"/>
    <mergeCell ref="G3:J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workbookViewId="0">
      <selection activeCell="F22" sqref="F22"/>
    </sheetView>
  </sheetViews>
  <sheetFormatPr defaultRowHeight="12.75" x14ac:dyDescent="0.2"/>
  <cols>
    <col min="1" max="1" width="26" style="4" bestFit="1" customWidth="1"/>
    <col min="2" max="2" width="28.5703125" style="4" bestFit="1" customWidth="1"/>
    <col min="3" max="3" width="15.5703125" style="4" bestFit="1" customWidth="1"/>
    <col min="4" max="4" width="9.28515625" style="4" bestFit="1" customWidth="1"/>
    <col min="5" max="5" width="22.7109375" style="4" bestFit="1" customWidth="1"/>
    <col min="6" max="6" width="24.7109375" style="4" bestFit="1" customWidth="1"/>
    <col min="7" max="8" width="4.5703125" style="3" customWidth="1"/>
    <col min="9" max="9" width="2.140625" style="3" customWidth="1"/>
    <col min="10" max="10" width="4.85546875" style="3" customWidth="1"/>
    <col min="11" max="12" width="4.5703125" style="3" customWidth="1"/>
    <col min="13" max="13" width="5.5703125" style="3" customWidth="1"/>
    <col min="14" max="14" width="4.85546875" style="3" customWidth="1"/>
    <col min="15" max="15" width="7.85546875" style="10" bestFit="1" customWidth="1"/>
    <col min="16" max="16" width="8.5703125" style="2" bestFit="1" customWidth="1"/>
    <col min="17" max="17" width="17.85546875" style="4" bestFit="1" customWidth="1"/>
    <col min="18" max="16384" width="9.140625" style="3"/>
  </cols>
  <sheetData>
    <row r="1" spans="1:17" s="2" customFormat="1" ht="29.1" customHeight="1" x14ac:dyDescent="0.2">
      <c r="A1" s="39" t="s">
        <v>530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1"/>
    </row>
    <row r="2" spans="1:17" s="2" customFormat="1" ht="62.1" customHeight="1" thickBot="1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4"/>
    </row>
    <row r="3" spans="1:17" s="1" customFormat="1" ht="12.75" customHeight="1" x14ac:dyDescent="0.2">
      <c r="A3" s="45" t="s">
        <v>0</v>
      </c>
      <c r="B3" s="47" t="s">
        <v>6</v>
      </c>
      <c r="C3" s="47" t="s">
        <v>10</v>
      </c>
      <c r="D3" s="49" t="s">
        <v>11</v>
      </c>
      <c r="E3" s="49" t="s">
        <v>4</v>
      </c>
      <c r="F3" s="49" t="s">
        <v>7</v>
      </c>
      <c r="G3" s="49" t="s">
        <v>13</v>
      </c>
      <c r="H3" s="49"/>
      <c r="I3" s="49"/>
      <c r="J3" s="49"/>
      <c r="K3" s="49" t="s">
        <v>14</v>
      </c>
      <c r="L3" s="49"/>
      <c r="M3" s="49"/>
      <c r="N3" s="49"/>
      <c r="O3" s="49" t="s">
        <v>1</v>
      </c>
      <c r="P3" s="49" t="s">
        <v>3</v>
      </c>
      <c r="Q3" s="50" t="s">
        <v>2</v>
      </c>
    </row>
    <row r="4" spans="1:17" s="1" customFormat="1" ht="21" customHeight="1" thickBot="1" x14ac:dyDescent="0.25">
      <c r="A4" s="46"/>
      <c r="B4" s="48"/>
      <c r="C4" s="48"/>
      <c r="D4" s="48"/>
      <c r="E4" s="48"/>
      <c r="F4" s="48"/>
      <c r="G4" s="5">
        <v>1</v>
      </c>
      <c r="H4" s="5">
        <v>2</v>
      </c>
      <c r="I4" s="5">
        <v>3</v>
      </c>
      <c r="J4" s="5" t="s">
        <v>5</v>
      </c>
      <c r="K4" s="5">
        <v>1</v>
      </c>
      <c r="L4" s="5">
        <v>2</v>
      </c>
      <c r="M4" s="5">
        <v>3</v>
      </c>
      <c r="N4" s="5" t="s">
        <v>5</v>
      </c>
      <c r="O4" s="48"/>
      <c r="P4" s="48"/>
      <c r="Q4" s="51"/>
    </row>
    <row r="5" spans="1:17" ht="15" x14ac:dyDescent="0.2">
      <c r="A5" s="52" t="s">
        <v>165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7" x14ac:dyDescent="0.2">
      <c r="A6" s="6" t="s">
        <v>432</v>
      </c>
      <c r="B6" s="6" t="s">
        <v>433</v>
      </c>
      <c r="C6" s="6" t="s">
        <v>434</v>
      </c>
      <c r="D6" s="6" t="str">
        <f>"0,7682"</f>
        <v>0,7682</v>
      </c>
      <c r="E6" s="6" t="s">
        <v>50</v>
      </c>
      <c r="F6" s="6" t="s">
        <v>51</v>
      </c>
      <c r="G6" s="7" t="s">
        <v>56</v>
      </c>
      <c r="H6" s="8" t="s">
        <v>56</v>
      </c>
      <c r="I6" s="7"/>
      <c r="J6" s="7"/>
      <c r="K6" s="8" t="s">
        <v>53</v>
      </c>
      <c r="L6" s="8" t="s">
        <v>65</v>
      </c>
      <c r="M6" s="7" t="s">
        <v>22</v>
      </c>
      <c r="N6" s="7"/>
      <c r="O6" s="11" t="str">
        <f>"150,0"</f>
        <v>150,0</v>
      </c>
      <c r="P6" s="12" t="str">
        <f>"116,2671"</f>
        <v>116,2671</v>
      </c>
      <c r="Q6" s="6" t="s">
        <v>58</v>
      </c>
    </row>
    <row r="8" spans="1:17" ht="15" x14ac:dyDescent="0.2">
      <c r="E8" s="9" t="s">
        <v>28</v>
      </c>
      <c r="F8" s="34" t="s">
        <v>520</v>
      </c>
    </row>
    <row r="9" spans="1:17" ht="15" x14ac:dyDescent="0.2">
      <c r="E9" s="9" t="s">
        <v>29</v>
      </c>
      <c r="F9" s="34" t="s">
        <v>523</v>
      </c>
    </row>
    <row r="10" spans="1:17" ht="15" x14ac:dyDescent="0.2">
      <c r="E10" s="9" t="s">
        <v>30</v>
      </c>
      <c r="F10" s="34" t="s">
        <v>521</v>
      </c>
    </row>
    <row r="11" spans="1:17" ht="15" x14ac:dyDescent="0.2">
      <c r="E11" s="9" t="s">
        <v>31</v>
      </c>
      <c r="F11" s="34" t="s">
        <v>524</v>
      </c>
    </row>
    <row r="12" spans="1:17" ht="15" x14ac:dyDescent="0.2">
      <c r="E12" s="9" t="s">
        <v>31</v>
      </c>
      <c r="F12" s="34" t="s">
        <v>522</v>
      </c>
    </row>
    <row r="13" spans="1:17" ht="15" x14ac:dyDescent="0.2">
      <c r="E13" s="9"/>
    </row>
    <row r="14" spans="1:17" ht="15" x14ac:dyDescent="0.2">
      <c r="E14" s="9"/>
    </row>
    <row r="16" spans="1:17" ht="18" x14ac:dyDescent="0.25">
      <c r="A16" s="13" t="s">
        <v>32</v>
      </c>
      <c r="B16" s="13"/>
    </row>
    <row r="17" spans="1:5" ht="15" x14ac:dyDescent="0.2">
      <c r="A17" s="14" t="s">
        <v>33</v>
      </c>
      <c r="B17" s="14"/>
    </row>
    <row r="18" spans="1:5" ht="14.25" x14ac:dyDescent="0.2">
      <c r="A18" s="16"/>
      <c r="B18" s="17" t="s">
        <v>34</v>
      </c>
    </row>
    <row r="19" spans="1:5" ht="15" x14ac:dyDescent="0.2">
      <c r="A19" s="18" t="s">
        <v>35</v>
      </c>
      <c r="B19" s="18" t="s">
        <v>36</v>
      </c>
      <c r="C19" s="18" t="s">
        <v>37</v>
      </c>
      <c r="D19" s="18" t="s">
        <v>38</v>
      </c>
      <c r="E19" s="18" t="s">
        <v>39</v>
      </c>
    </row>
    <row r="20" spans="1:5" x14ac:dyDescent="0.2">
      <c r="A20" s="15" t="s">
        <v>431</v>
      </c>
      <c r="B20" s="4" t="s">
        <v>323</v>
      </c>
      <c r="C20" s="4" t="s">
        <v>197</v>
      </c>
      <c r="D20" s="4" t="s">
        <v>85</v>
      </c>
      <c r="E20" s="10" t="s">
        <v>435</v>
      </c>
    </row>
  </sheetData>
  <mergeCells count="13">
    <mergeCell ref="O3:O4"/>
    <mergeCell ref="P3:P4"/>
    <mergeCell ref="Q3:Q4"/>
    <mergeCell ref="A5:N5"/>
    <mergeCell ref="A1:Q2"/>
    <mergeCell ref="A3:A4"/>
    <mergeCell ref="B3:B4"/>
    <mergeCell ref="C3:C4"/>
    <mergeCell ref="D3:D4"/>
    <mergeCell ref="E3:E4"/>
    <mergeCell ref="F3:F4"/>
    <mergeCell ref="G3:J3"/>
    <mergeCell ref="K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Русская тяга проф. 200 кг.</vt:lpstr>
      <vt:lpstr>Русская тяга люб. 75 кг.</vt:lpstr>
      <vt:lpstr>РЖ любители 55 кг.</vt:lpstr>
      <vt:lpstr>РЖ Проф 55 кг.</vt:lpstr>
      <vt:lpstr>Пауэрспорт Профессионалы</vt:lpstr>
      <vt:lpstr>Бицепс Профессионалы</vt:lpstr>
      <vt:lpstr>Бицепс Любители</vt:lpstr>
      <vt:lpstr>Жим стоя Профессионалы</vt:lpstr>
      <vt:lpstr>Двоеборье про</vt:lpstr>
      <vt:lpstr>Люб. присед б.э.</vt:lpstr>
      <vt:lpstr>ПРО тяга б.э.</vt:lpstr>
      <vt:lpstr>Люб. тяга б.э.</vt:lpstr>
      <vt:lpstr>Люб. жим софт мн.петельная</vt:lpstr>
      <vt:lpstr>Парная тяга. Любители.</vt:lpstr>
      <vt:lpstr>ПРО жим б.э.</vt:lpstr>
      <vt:lpstr>Люб. жим б.э.</vt:lpstr>
      <vt:lpstr>СОВ жим</vt:lpstr>
      <vt:lpstr>ПРО Военный жим класс.</vt:lpstr>
      <vt:lpstr>Люб. Военный жим класс.</vt:lpstr>
      <vt:lpstr>ПРО ПЛ. б.э.</vt:lpstr>
      <vt:lpstr>Люб. ПЛ. б.э.</vt:lpstr>
      <vt:lpstr>Люб. ПЛ. СТАНДАРТ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Tomchin</dc:creator>
  <cp:lastModifiedBy>NPA</cp:lastModifiedBy>
  <cp:lastPrinted>2015-07-16T19:10:53Z</cp:lastPrinted>
  <dcterms:created xsi:type="dcterms:W3CDTF">2002-06-16T13:36:44Z</dcterms:created>
  <dcterms:modified xsi:type="dcterms:W3CDTF">2020-11-13T07:30:26Z</dcterms:modified>
</cp:coreProperties>
</file>