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2" activeTab="17"/>
  </bookViews>
  <sheets>
    <sheet name="Проф. народный жим 1_2 вес" sheetId="1" r:id="rId1"/>
    <sheet name="Люб. народный жим 1_2 вес" sheetId="2" r:id="rId2"/>
    <sheet name="Люб. народный жим 1 вес" sheetId="3" r:id="rId3"/>
    <sheet name="Пауэрспорт Любители" sheetId="4" r:id="rId4"/>
    <sheet name="Бицепс Любители" sheetId="5" r:id="rId5"/>
    <sheet name="РЖ любители 100 кг." sheetId="6" r:id="rId6"/>
    <sheet name="РЖ любители 75 кг." sheetId="7" r:id="rId7"/>
    <sheet name="РЖ любители 55 кг." sheetId="8" r:id="rId8"/>
    <sheet name="РЖ Проф 100 кг." sheetId="9" r:id="rId9"/>
    <sheet name="РЖ Проф 75 кг." sheetId="10" r:id="rId10"/>
    <sheet name="РЖ Проф 55 кг." sheetId="11" r:id="rId11"/>
    <sheet name="ПРО тяга б.э." sheetId="12" r:id="rId12"/>
    <sheet name="Люб. тяга б.э." sheetId="13" r:id="rId13"/>
    <sheet name="ПРО жим софт мн.петельная" sheetId="14" r:id="rId14"/>
    <sheet name="Люб. жим жим софт мн.петельная" sheetId="15" r:id="rId15"/>
    <sheet name="Люб. жим 1 петельная" sheetId="16" r:id="rId16"/>
    <sheet name="ПРО жим б.э." sheetId="17" r:id="rId17"/>
    <sheet name="Люб. жим б.э." sheetId="18" r:id="rId18"/>
    <sheet name="ПРО Военный жим" sheetId="19" r:id="rId19"/>
    <sheet name="Люб. Военный жим" sheetId="20" r:id="rId20"/>
    <sheet name="Люб. ПЛ. б.э." sheetId="21" r:id="rId21"/>
    <sheet name="Люб. ПЛ. 1.петельная софт" sheetId="22" r:id="rId22"/>
  </sheets>
  <definedNames/>
  <calcPr fullCalcOnLoad="1" refMode="R1C1"/>
</workbook>
</file>

<file path=xl/sharedStrings.xml><?xml version="1.0" encoding="utf-8"?>
<sst xmlns="http://schemas.openxmlformats.org/spreadsheetml/2006/main" count="1721" uniqueCount="467">
  <si>
    <t>ФИО</t>
  </si>
  <si>
    <t>Присед</t>
  </si>
  <si>
    <t>Тяга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</si>
  <si>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</si>
  <si>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</si>
  <si>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</si>
  <si>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</si>
  <si>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</si>
  <si>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</si>
  <si>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</si>
  <si>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</si>
  <si>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</si>
  <si>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</si>
  <si>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</si>
  <si>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</si>
  <si>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</si>
  <si>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</si>
  <si>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Кубок Европы 2020
Любители пауэрлифтинг в однопетельной софт экипировке
Дмитров/Московская область 8 - 9 февраля 2020 г.</t>
  </si>
  <si>
    <t>Shv/Mel</t>
  </si>
  <si>
    <t>Приседание</t>
  </si>
  <si>
    <t>Жим лёжа</t>
  </si>
  <si>
    <t>Становая тяга</t>
  </si>
  <si>
    <t>ВЕСОВАЯ КАТЕГОРИЯ   82.5</t>
  </si>
  <si>
    <t>1. Игнатов Алексей</t>
  </si>
  <si>
    <t>Юноши 16 - 17 (21.07.2002)/17</t>
  </si>
  <si>
    <t>81,50</t>
  </si>
  <si>
    <t xml:space="preserve">лично </t>
  </si>
  <si>
    <t xml:space="preserve">Дмитров/Московская область </t>
  </si>
  <si>
    <t>185,0</t>
  </si>
  <si>
    <t>195,0</t>
  </si>
  <si>
    <t>200,0</t>
  </si>
  <si>
    <t>105,0</t>
  </si>
  <si>
    <t>115,0</t>
  </si>
  <si>
    <t>120,0</t>
  </si>
  <si>
    <t>165,0</t>
  </si>
  <si>
    <t xml:space="preserve"> </t>
  </si>
  <si>
    <t>2. Игнатов Александр</t>
  </si>
  <si>
    <t>80,90</t>
  </si>
  <si>
    <t>125,0</t>
  </si>
  <si>
    <t>127,5</t>
  </si>
  <si>
    <t>160,0</t>
  </si>
  <si>
    <t>175,0</t>
  </si>
  <si>
    <t>ВЕСОВАЯ КАТЕГОРИЯ   90</t>
  </si>
  <si>
    <t>1. Гончаров Никита</t>
  </si>
  <si>
    <t>Юноши 16 - 17 (14.09.2002)/17</t>
  </si>
  <si>
    <t>89,90</t>
  </si>
  <si>
    <t>140,0</t>
  </si>
  <si>
    <t>150,0</t>
  </si>
  <si>
    <t>90,0</t>
  </si>
  <si>
    <t>92,5</t>
  </si>
  <si>
    <t>170,0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</si>
  <si>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</si>
  <si>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</si>
  <si>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</si>
  <si>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</si>
  <si>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</si>
  <si>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</si>
  <si>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82.5</t>
  </si>
  <si>
    <t>90</t>
  </si>
  <si>
    <t>Кубок Европы 2020
Любители пауэрлифтинг без экипировки
Дмитров/Московская область 8 - 9 февраля 2020 г.</t>
  </si>
  <si>
    <t>ВЕСОВАЯ КАТЕГОРИЯ   75</t>
  </si>
  <si>
    <t>1. Ванифатьев Андрей</t>
  </si>
  <si>
    <t>Юноши 18 - 19 (08.08.2000)/19</t>
  </si>
  <si>
    <t>74,50</t>
  </si>
  <si>
    <t xml:space="preserve">Сергиев Посад/Московская область </t>
  </si>
  <si>
    <t>130,0</t>
  </si>
  <si>
    <t>70,0</t>
  </si>
  <si>
    <t>80,0</t>
  </si>
  <si>
    <t>135,0</t>
  </si>
  <si>
    <t>1. Седов Евгений</t>
  </si>
  <si>
    <t>Юноши 16 - 17 (07.05.2002)/17</t>
  </si>
  <si>
    <t>79,10</t>
  </si>
  <si>
    <t>100,0</t>
  </si>
  <si>
    <t>110,0</t>
  </si>
  <si>
    <t>-. Игнатов Александр</t>
  </si>
  <si>
    <t>-. Игнатов Алексей</t>
  </si>
  <si>
    <t>-. Гончаров Никита</t>
  </si>
  <si>
    <t>85,0</t>
  </si>
  <si>
    <t>ВЕСОВАЯ КАТЕГОРИЯ   100</t>
  </si>
  <si>
    <t>1. Богородский Иван</t>
  </si>
  <si>
    <t>Юноши 18 - 19 (04.10.2001)/18</t>
  </si>
  <si>
    <t>93,00</t>
  </si>
  <si>
    <t>180,0</t>
  </si>
  <si>
    <t>190,0</t>
  </si>
  <si>
    <t xml:space="preserve">Терешин Алексей </t>
  </si>
  <si>
    <t>ВЕСОВАЯ КАТЕГОРИЯ   110</t>
  </si>
  <si>
    <t>1. Монахов Евгений</t>
  </si>
  <si>
    <t>Открытая (23.11.1972)/47</t>
  </si>
  <si>
    <t>105,00</t>
  </si>
  <si>
    <t xml:space="preserve">Клин/Московская область </t>
  </si>
  <si>
    <t>220,0</t>
  </si>
  <si>
    <t>235,0</t>
  </si>
  <si>
    <t>240,0</t>
  </si>
  <si>
    <t>145,0</t>
  </si>
  <si>
    <t>155,0</t>
  </si>
  <si>
    <t>250,0</t>
  </si>
  <si>
    <t>260,0</t>
  </si>
  <si>
    <t>270,0</t>
  </si>
  <si>
    <t>-. Дворников Павел</t>
  </si>
  <si>
    <t>Открытая (12.05.1995)/24</t>
  </si>
  <si>
    <t>108,00</t>
  </si>
  <si>
    <t xml:space="preserve">Яхрома/Московская область </t>
  </si>
  <si>
    <t>Мастера 45 - 49 (23.11.1972)/47</t>
  </si>
  <si>
    <t>100</t>
  </si>
  <si>
    <t>310,0</t>
  </si>
  <si>
    <t xml:space="preserve">Открытая </t>
  </si>
  <si>
    <t>110</t>
  </si>
  <si>
    <t xml:space="preserve">Мастера </t>
  </si>
  <si>
    <t>Кубок Европы 2020
Любители военный жим
Дмитров/Московская область 8 - 9 февраля 2020 г.</t>
  </si>
  <si>
    <t>Лузин Сергей</t>
  </si>
  <si>
    <t>1. Лузин Сергей</t>
  </si>
  <si>
    <t>Мастера 65 - 69 (30.04.1954)/65</t>
  </si>
  <si>
    <t>89,20</t>
  </si>
  <si>
    <t xml:space="preserve">Пермь/Пермский край </t>
  </si>
  <si>
    <t>ВЕСОВАЯ КАТЕГОРИЯ   125</t>
  </si>
  <si>
    <t>1. Селезнев Владимир</t>
  </si>
  <si>
    <t>Мастера 40 - 44 (09.05.1977)/42</t>
  </si>
  <si>
    <t>123,00</t>
  </si>
  <si>
    <t xml:space="preserve">Одинцово/Московская область </t>
  </si>
  <si>
    <t xml:space="preserve">Мастера 65 - 69 </t>
  </si>
  <si>
    <t>125</t>
  </si>
  <si>
    <t>Результат</t>
  </si>
  <si>
    <t>Кубок Европы 2020
ПРО военный жим
Дмитров/Московская область 8 - 9 февраля 2020 г.</t>
  </si>
  <si>
    <t>Кубок Европы 2020
Любители жим лежа без экипировки
Дмитров/Московская область 8 - 9 февраля 2020 г.</t>
  </si>
  <si>
    <t>ВЕСОВАЯ КАТЕГОРИЯ   56</t>
  </si>
  <si>
    <t>1. Лохмоткина Юлия</t>
  </si>
  <si>
    <t>Открытая (27.07.1987)/32</t>
  </si>
  <si>
    <t>54,80</t>
  </si>
  <si>
    <t>62,5</t>
  </si>
  <si>
    <t>65,0</t>
  </si>
  <si>
    <t>67,5</t>
  </si>
  <si>
    <t>1. Пикуш Виктория</t>
  </si>
  <si>
    <t>Мастера 40 - 44 (06.08.1978)/41</t>
  </si>
  <si>
    <t>55,80</t>
  </si>
  <si>
    <t xml:space="preserve">Пикуш Руслан </t>
  </si>
  <si>
    <t>ВЕСОВАЯ КАТЕГОРИЯ   60</t>
  </si>
  <si>
    <t>1. Доценко Наталия</t>
  </si>
  <si>
    <t>Открытая (14.05.1987)/32</t>
  </si>
  <si>
    <t>57,80</t>
  </si>
  <si>
    <t xml:space="preserve">Москва </t>
  </si>
  <si>
    <t>37,5</t>
  </si>
  <si>
    <t>40,0</t>
  </si>
  <si>
    <t>ВЕСОВАЯ КАТЕГОРИЯ   52</t>
  </si>
  <si>
    <t>1. Купченко Егор</t>
  </si>
  <si>
    <t>Юноши 0-13 (11.08.2010)/9</t>
  </si>
  <si>
    <t>43,60</t>
  </si>
  <si>
    <t>25,0</t>
  </si>
  <si>
    <t>30,0</t>
  </si>
  <si>
    <t>32,5</t>
  </si>
  <si>
    <t>1. Сергеенко Никита</t>
  </si>
  <si>
    <t>Юноши 14-15 (24.06.2005)/14</t>
  </si>
  <si>
    <t>51,00</t>
  </si>
  <si>
    <t>50,0</t>
  </si>
  <si>
    <t>55,0</t>
  </si>
  <si>
    <t>57,5</t>
  </si>
  <si>
    <t xml:space="preserve">Новиков Илья </t>
  </si>
  <si>
    <t>ВЕСОВАЯ КАТЕГОРИЯ   67.5</t>
  </si>
  <si>
    <t>1. Лымарева Елена</t>
  </si>
  <si>
    <t>Мастера 50 - 54 (20.04.1966)/53</t>
  </si>
  <si>
    <t>65,00</t>
  </si>
  <si>
    <t>75,0</t>
  </si>
  <si>
    <t>87,5</t>
  </si>
  <si>
    <t>1. Седов Андрей</t>
  </si>
  <si>
    <t>Юноши 0-13 (06.07.2007)/12</t>
  </si>
  <si>
    <t>79,00</t>
  </si>
  <si>
    <t>42,5</t>
  </si>
  <si>
    <t>1. Вовк Леонид</t>
  </si>
  <si>
    <t>Юноши 14-15 (02.06.2005)/14</t>
  </si>
  <si>
    <t>81,00</t>
  </si>
  <si>
    <t>45,0</t>
  </si>
  <si>
    <t>1. Сущев Родион</t>
  </si>
  <si>
    <t>Юноши 16 - 17 (03.03.2002)/17</t>
  </si>
  <si>
    <t>82,00</t>
  </si>
  <si>
    <t>122,5</t>
  </si>
  <si>
    <t>Гусев Кирилл</t>
  </si>
  <si>
    <t>1. Гусев Кирилл</t>
  </si>
  <si>
    <t>Открытая (15.11.1986)/33</t>
  </si>
  <si>
    <t>79,35</t>
  </si>
  <si>
    <t>Козырев Сергей</t>
  </si>
  <si>
    <t>2. Козырев Сергей</t>
  </si>
  <si>
    <t>Открытая (07.02.1983)/37</t>
  </si>
  <si>
    <t xml:space="preserve">Лисютин Максим </t>
  </si>
  <si>
    <t>Карасев Максим</t>
  </si>
  <si>
    <t>3. Карасев Максим</t>
  </si>
  <si>
    <t>Открытая (20.12.1993)/26</t>
  </si>
  <si>
    <t>80,00</t>
  </si>
  <si>
    <t>107,5</t>
  </si>
  <si>
    <t>Мищенко Артем</t>
  </si>
  <si>
    <t>1. Мищенко Артем</t>
  </si>
  <si>
    <t>Открытая (26.06.1984)/35</t>
  </si>
  <si>
    <t>88,80</t>
  </si>
  <si>
    <t>167,5</t>
  </si>
  <si>
    <t>Черных Дмитрий</t>
  </si>
  <si>
    <t>2. Черных Дмитрий</t>
  </si>
  <si>
    <t>Открытая (24.08.1993)/26</t>
  </si>
  <si>
    <t>89,00</t>
  </si>
  <si>
    <t>Козлов Владимир</t>
  </si>
  <si>
    <t>3. Козлов Владимир</t>
  </si>
  <si>
    <t>Открытая (12.06.1988)/31</t>
  </si>
  <si>
    <t>88,50</t>
  </si>
  <si>
    <t xml:space="preserve">Хотьково/Московская область </t>
  </si>
  <si>
    <t>-. Волков Андрей</t>
  </si>
  <si>
    <t>Открытая (26.01.1996)/24</t>
  </si>
  <si>
    <t>89,70</t>
  </si>
  <si>
    <t>1. Воронин Дмитрий</t>
  </si>
  <si>
    <t>Мастера 50 - 54 (01.05.1969)/50</t>
  </si>
  <si>
    <t>142,5</t>
  </si>
  <si>
    <t>Иванчук Алексей</t>
  </si>
  <si>
    <t>1. Иванчук Алексей</t>
  </si>
  <si>
    <t>Открытая (13.04.1991)/28</t>
  </si>
  <si>
    <t>99,00</t>
  </si>
  <si>
    <t>162,5</t>
  </si>
  <si>
    <t>Носырев Сергей</t>
  </si>
  <si>
    <t>2. Носырев Сергей</t>
  </si>
  <si>
    <t>Открытая (23.08.1987)/32</t>
  </si>
  <si>
    <t>97,50</t>
  </si>
  <si>
    <t>1. Гринько Кирилл</t>
  </si>
  <si>
    <t>Юноши 0-13 (10.04.2007)/12</t>
  </si>
  <si>
    <t>106,00</t>
  </si>
  <si>
    <t>1. Енин Даниил</t>
  </si>
  <si>
    <t>Юноши 14-15 (22.02.2005)/14</t>
  </si>
  <si>
    <t>112,5</t>
  </si>
  <si>
    <t>Богатов Иван</t>
  </si>
  <si>
    <t>1. Богатов Иван</t>
  </si>
  <si>
    <t>Открытая (11.07.1990)/29</t>
  </si>
  <si>
    <t>108,20</t>
  </si>
  <si>
    <t xml:space="preserve">вербилки/талдомский </t>
  </si>
  <si>
    <t>1. Козадаев Михаил</t>
  </si>
  <si>
    <t>Мастера 45 - 49 (16.10.1973)/46</t>
  </si>
  <si>
    <t>104,50</t>
  </si>
  <si>
    <t>1. Артамонов Дмитрий</t>
  </si>
  <si>
    <t>Юноши 0-13 (24.04.2006)/13</t>
  </si>
  <si>
    <t>116,00</t>
  </si>
  <si>
    <t>Арсентьев Иван</t>
  </si>
  <si>
    <t>1. Арсентьев Иван</t>
  </si>
  <si>
    <t>Открытая (04.06.1976)/43</t>
  </si>
  <si>
    <t>118,50</t>
  </si>
  <si>
    <t>202,5</t>
  </si>
  <si>
    <t>210,0</t>
  </si>
  <si>
    <t>ВЕСОВАЯ КАТЕГОРИЯ   140</t>
  </si>
  <si>
    <t>1. Чубаров Владимир</t>
  </si>
  <si>
    <t>Мастера 55 - 59 (03.04.1964)/55</t>
  </si>
  <si>
    <t>126,00</t>
  </si>
  <si>
    <t>172,5</t>
  </si>
  <si>
    <t>177,5</t>
  </si>
  <si>
    <t>116,2260</t>
  </si>
  <si>
    <t>100,3170</t>
  </si>
  <si>
    <t>94,2900</t>
  </si>
  <si>
    <t>91,3415</t>
  </si>
  <si>
    <t>83,4750</t>
  </si>
  <si>
    <t>79,8390</t>
  </si>
  <si>
    <t>76,4040</t>
  </si>
  <si>
    <t>75,2760</t>
  </si>
  <si>
    <t>72,8650</t>
  </si>
  <si>
    <t>63,2900</t>
  </si>
  <si>
    <t xml:space="preserve">Мастера 55 - 59 </t>
  </si>
  <si>
    <t>Кубок Европы 2020
ПРО жим лежа без экипировки
Дмитров/Московская область 8 - 9 февраля 2020 г.</t>
  </si>
  <si>
    <t>1. Богомолов Сергей</t>
  </si>
  <si>
    <t>Открытая (04.09.1988)/31</t>
  </si>
  <si>
    <t>82,40</t>
  </si>
  <si>
    <t>132,5</t>
  </si>
  <si>
    <t>1. Патренков Руслан</t>
  </si>
  <si>
    <t>Открытая (07.07.1990)/29</t>
  </si>
  <si>
    <t>99,30</t>
  </si>
  <si>
    <t>1. Ильиных Иван</t>
  </si>
  <si>
    <t>Юниоры 20 - 23 (25.10.1996)/23</t>
  </si>
  <si>
    <t>119,00</t>
  </si>
  <si>
    <t>182,5</t>
  </si>
  <si>
    <t>1. Дядьков Игорь</t>
  </si>
  <si>
    <t>Открытая (17.02.1981)/38</t>
  </si>
  <si>
    <t>118,00</t>
  </si>
  <si>
    <t>2. Юрашевич Антон</t>
  </si>
  <si>
    <t>Открытая (24.05.1981)/38</t>
  </si>
  <si>
    <t xml:space="preserve">Мытищи/Московская область </t>
  </si>
  <si>
    <t>157,5</t>
  </si>
  <si>
    <t>1. Лисютин Максим</t>
  </si>
  <si>
    <t>Мастера 40 - 44 (05.05.1978)/41</t>
  </si>
  <si>
    <t>120,00</t>
  </si>
  <si>
    <t>230,0</t>
  </si>
  <si>
    <t>Кубок Европы 2020
Любители жим лежа в Софт экипировка однопетельная
Дмитров/Московская область 8 - 9 февраля 2020 г.</t>
  </si>
  <si>
    <t>1. Ермолаева Анна</t>
  </si>
  <si>
    <t>Мастера 40 - 44 (27.04.1975)/44</t>
  </si>
  <si>
    <t>67,40</t>
  </si>
  <si>
    <t>1. Гонко Сергей</t>
  </si>
  <si>
    <t>Мастера 60 - 64 (27.06.1956)/63</t>
  </si>
  <si>
    <t>1. Постнов Константин</t>
  </si>
  <si>
    <t>Открытая (25.04.1988)/31</t>
  </si>
  <si>
    <t>98,20</t>
  </si>
  <si>
    <t>1. Корчинский Василий</t>
  </si>
  <si>
    <t>Открытая (26.07.1981)/38</t>
  </si>
  <si>
    <t>105,50</t>
  </si>
  <si>
    <t>215,0</t>
  </si>
  <si>
    <t>225,0</t>
  </si>
  <si>
    <t>2. Александров Александр</t>
  </si>
  <si>
    <t>Открытая (16.04.1983)/36</t>
  </si>
  <si>
    <t>103,60</t>
  </si>
  <si>
    <t>1. Котик Святослав</t>
  </si>
  <si>
    <t>Мастера 45 - 49 (14.01.1972)/48</t>
  </si>
  <si>
    <t>115,70</t>
  </si>
  <si>
    <t>Кубок Европы 2020
Любители жим лежа в Софт экипировка многопетельная
Дмитров/Московская область 8 - 9 февраля 2020 г.</t>
  </si>
  <si>
    <t>1. Сухарев Кирилл</t>
  </si>
  <si>
    <t>Открытая (21.12.1993)/26</t>
  </si>
  <si>
    <t>107,00</t>
  </si>
  <si>
    <t>300,0</t>
  </si>
  <si>
    <t>315,0</t>
  </si>
  <si>
    <t>325,0</t>
  </si>
  <si>
    <t>Кубок Европы 2020
ПРО жим лежа в Софт экипировка многопетельная
Дмитров/Московская область 8 - 9 февраля 2020 г.</t>
  </si>
  <si>
    <t>-. Мельников Алексей</t>
  </si>
  <si>
    <t>Открытая (22.10.1987)/32</t>
  </si>
  <si>
    <t>370,0</t>
  </si>
  <si>
    <t>1. Сухарев Андрей</t>
  </si>
  <si>
    <t>Открытая (22.07.1974)/45</t>
  </si>
  <si>
    <t>107,40</t>
  </si>
  <si>
    <t>355,0</t>
  </si>
  <si>
    <t>380,0</t>
  </si>
  <si>
    <t>1. Василенко Дмитрий</t>
  </si>
  <si>
    <t>Мастера 40 - 44 (03.06.1975)/44</t>
  </si>
  <si>
    <t>110,00</t>
  </si>
  <si>
    <t>330,0</t>
  </si>
  <si>
    <t>360,0</t>
  </si>
  <si>
    <t>1. Емельянов Николай</t>
  </si>
  <si>
    <t>Открытая (30.08.1979)/40</t>
  </si>
  <si>
    <t xml:space="preserve">Лосино-Петровский/Московская область </t>
  </si>
  <si>
    <t>400,0</t>
  </si>
  <si>
    <t>Кубок Европы 2020
Любители становая тяга без экипировки
Дмитров/Московская область 8 - 9 февраля 2020 г.</t>
  </si>
  <si>
    <t>1. Кафтанова Юлия</t>
  </si>
  <si>
    <t>Юниорки 20 - 23 (13.02.1996)/23</t>
  </si>
  <si>
    <t>51,50</t>
  </si>
  <si>
    <t>102,5</t>
  </si>
  <si>
    <t>117,5</t>
  </si>
  <si>
    <t>1. Вереникина Мария</t>
  </si>
  <si>
    <t>Открытая (14.10.1985)/34</t>
  </si>
  <si>
    <t>55,30</t>
  </si>
  <si>
    <t>1. Тимошенко Дмитрий</t>
  </si>
  <si>
    <t>Открытая (20.07.1995)/24</t>
  </si>
  <si>
    <t>86,50</t>
  </si>
  <si>
    <t>257,5</t>
  </si>
  <si>
    <t>1. Король Игорь</t>
  </si>
  <si>
    <t>Мастера 55 - 59 (08.11.1964)/55</t>
  </si>
  <si>
    <t>85,20</t>
  </si>
  <si>
    <t xml:space="preserve">Брянск/Брянская область </t>
  </si>
  <si>
    <t>1. Лукьянчиков Владимир</t>
  </si>
  <si>
    <t>Мастера 60 - 64 (23.12.1959)/60</t>
  </si>
  <si>
    <t>87,50</t>
  </si>
  <si>
    <t>1. Малышев Антон</t>
  </si>
  <si>
    <t>Юниоры 20 - 23 (18.07.1999)/20</t>
  </si>
  <si>
    <t>105,30</t>
  </si>
  <si>
    <t>205,0</t>
  </si>
  <si>
    <t>1. Андрей Бутко</t>
  </si>
  <si>
    <t>Открытая (05.05.1985)/34</t>
  </si>
  <si>
    <t>255,0</t>
  </si>
  <si>
    <t>265,0</t>
  </si>
  <si>
    <t>277,5</t>
  </si>
  <si>
    <t>2. Монахов Евгений</t>
  </si>
  <si>
    <t>3. Дворников Павел</t>
  </si>
  <si>
    <t>Кубок Европы 2020
ПРО становая тяга без экипировки
Дмитров/Московская область 8 - 9 февраля 2020 г.</t>
  </si>
  <si>
    <t>1. Клинцова Мария</t>
  </si>
  <si>
    <t>Открытая (31.01.1987)/33</t>
  </si>
  <si>
    <t>ВЕСОВАЯ КАТЕГОРИЯ   90+</t>
  </si>
  <si>
    <t>1. Ярошенко Ирина</t>
  </si>
  <si>
    <t>Открытая (04.12.1986)/33</t>
  </si>
  <si>
    <t>98,00</t>
  </si>
  <si>
    <t>1. Чепель Андрей</t>
  </si>
  <si>
    <t>Юноши 14-15 (10.04.2005)/14</t>
  </si>
  <si>
    <t>57,70</t>
  </si>
  <si>
    <t>1. Корюков Игорь</t>
  </si>
  <si>
    <t>Открытая (11.05.1983)/36</t>
  </si>
  <si>
    <t>96,80</t>
  </si>
  <si>
    <t>Коробейников Д.Ю</t>
  </si>
  <si>
    <t>Новиков И.В</t>
  </si>
  <si>
    <t>Лохмоткин М.Ю</t>
  </si>
  <si>
    <t>Лохмоткин Д.Ю</t>
  </si>
  <si>
    <t>Суриков М.С</t>
  </si>
  <si>
    <t>24,7747</t>
  </si>
  <si>
    <t>2200,0</t>
  </si>
  <si>
    <t>All</t>
  </si>
  <si>
    <t xml:space="preserve">Атлетизм </t>
  </si>
  <si>
    <t>22,0</t>
  </si>
  <si>
    <t>ВЕСОВАЯ КАТЕГОРИЯ   All</t>
  </si>
  <si>
    <t>Повторы</t>
  </si>
  <si>
    <t>Вес</t>
  </si>
  <si>
    <t>Тоннаж</t>
  </si>
  <si>
    <t>Русский жим</t>
  </si>
  <si>
    <t>Атлетизм</t>
  </si>
  <si>
    <t>Кубок Европы 2020 Русский жим
Русский жим любители 100 кг.
Дмитров/Московская область 8 - 9 февраля 2020 г.</t>
  </si>
  <si>
    <t>15,9753</t>
  </si>
  <si>
    <t>1425,0</t>
  </si>
  <si>
    <t>20,3225</t>
  </si>
  <si>
    <t>1575,0</t>
  </si>
  <si>
    <t>Мухин Олег</t>
  </si>
  <si>
    <t>19,0</t>
  </si>
  <si>
    <t>21,0</t>
  </si>
  <si>
    <t>77,50</t>
  </si>
  <si>
    <t>Мастера 55 - 59 (14.09.1961)/58</t>
  </si>
  <si>
    <t>1. Мухин Олег</t>
  </si>
  <si>
    <t>-. Мищенко Артем</t>
  </si>
  <si>
    <t>Открытая (14.09.1961)/58</t>
  </si>
  <si>
    <t>Кубок Европы 2020 Русский жим
Русский жим любители 75 кг.
Дмитров/Московская область 8 - 9 февраля 2020 г.</t>
  </si>
  <si>
    <t>Новикеов И.В</t>
  </si>
  <si>
    <t>52,0</t>
  </si>
  <si>
    <t>Открытая (13.02.1987)/32</t>
  </si>
  <si>
    <t>4. Каленчук Александр</t>
  </si>
  <si>
    <t>71,0</t>
  </si>
  <si>
    <t>57,0</t>
  </si>
  <si>
    <t xml:space="preserve">Фрязино/Московская область </t>
  </si>
  <si>
    <t>88,40</t>
  </si>
  <si>
    <t>Открытая (27.12.1987)/32</t>
  </si>
  <si>
    <t>3. Кротенко Дмитрий</t>
  </si>
  <si>
    <t>2. Мухин Олег</t>
  </si>
  <si>
    <t>98,0</t>
  </si>
  <si>
    <t>75,00</t>
  </si>
  <si>
    <t>Открытая (02.11.1986)/33</t>
  </si>
  <si>
    <t>1. Курбанов Ренат</t>
  </si>
  <si>
    <t>Кубок Европы 2020 Русский жим
Русский жим любители 55 кг.
Дмитров/Московская область 8 - 9 февраля 2020 г.</t>
  </si>
  <si>
    <t>26,0</t>
  </si>
  <si>
    <t>109,00</t>
  </si>
  <si>
    <t>Мастера 40 - 44 (30.04.1975)/44</t>
  </si>
  <si>
    <t>1. Самитов Александр</t>
  </si>
  <si>
    <t>33,0</t>
  </si>
  <si>
    <t>117,00</t>
  </si>
  <si>
    <t>Открытая (16.04.1981)/38</t>
  </si>
  <si>
    <t>1. Черствов Алексей</t>
  </si>
  <si>
    <t>Кубок Европы 2020 Русский жим
Русский жим профессионалы 100 кг.
Дмитров/Московская область 8 - 9 февраля 2020 г.</t>
  </si>
  <si>
    <t>68,0</t>
  </si>
  <si>
    <t>Мастера 40 - 44 (23.05.1975)/44</t>
  </si>
  <si>
    <t>1. Терехин Юрий</t>
  </si>
  <si>
    <t>34,0</t>
  </si>
  <si>
    <t>Открытая (29.10.1983)/36</t>
  </si>
  <si>
    <t>1. Широков Вадим</t>
  </si>
  <si>
    <t>Кубок Европы 2020 Русский жим
Русский жим профессионалы 75 кг.
Дмитров/Московская область 8 - 9 февраля 2020 г.</t>
  </si>
  <si>
    <t>Кубок Европы 2020 Русский жим
Русский жим профессионалы 55 кг.
Дмитров/Московская область 8 - 9 февраля 2020 г.</t>
  </si>
  <si>
    <t>Корбейников Д.Ю</t>
  </si>
  <si>
    <t>95,0</t>
  </si>
  <si>
    <t>47,5</t>
  </si>
  <si>
    <t>52,5</t>
  </si>
  <si>
    <t xml:space="preserve">Раменское/Московская область </t>
  </si>
  <si>
    <t>65,90</t>
  </si>
  <si>
    <t>Юниоры 20 - 23 (29.09.1996)/23</t>
  </si>
  <si>
    <t>-. Поцелуев Никита</t>
  </si>
  <si>
    <t>Юноши 18 - 19 (04.02.2002)/18</t>
  </si>
  <si>
    <t>1. Сурков Кондрат</t>
  </si>
  <si>
    <t>Подъем на бицепс</t>
  </si>
  <si>
    <t>Жим стоя</t>
  </si>
  <si>
    <t>Кубок Европы 2020 пауэрспорт
Пауэрспорт Любители
Дмитров/Московская область 8 - 9 февраля 2020 г.</t>
  </si>
  <si>
    <t>Открытая (09.05.1977)/42</t>
  </si>
  <si>
    <t>77,5</t>
  </si>
  <si>
    <t>108,30</t>
  </si>
  <si>
    <t>Открытая (15.01.1986)/34</t>
  </si>
  <si>
    <t>1. Баранов Александр</t>
  </si>
  <si>
    <t>35,0</t>
  </si>
  <si>
    <t>72,5</t>
  </si>
  <si>
    <t xml:space="preserve">Лыткарино/Московская область </t>
  </si>
  <si>
    <t>Открытая (14.10.1986)/33</t>
  </si>
  <si>
    <t>1. Хорев Артур</t>
  </si>
  <si>
    <t xml:space="preserve">Омск/Омская область </t>
  </si>
  <si>
    <t>80,70</t>
  </si>
  <si>
    <t>Юниоры 20 - 23 (15.06.1998)/21</t>
  </si>
  <si>
    <t>1. Гехт Эдуард</t>
  </si>
  <si>
    <t>68,00</t>
  </si>
  <si>
    <t>Юноши 16 - 17 (10.10.2002)/17</t>
  </si>
  <si>
    <t>1. Журавлев Станислав</t>
  </si>
  <si>
    <t>Кубок Европы 2020 пауэрспорт
Одиночный подъём штанги на бицепс Любители
Дмитров/Московская область 8 - 9 февраля 2020 г.</t>
  </si>
  <si>
    <t>Народный жим</t>
  </si>
  <si>
    <t>НАП Н.Ж.</t>
  </si>
  <si>
    <t>Кубок Европы 2020 многоповторный жим, тяга
Профессионалы народный жим (1/2 вес)
Дмитров/Московская область 8 - 9 февраля 2020 г.</t>
  </si>
  <si>
    <t>Кубок Европы 2020 многоповторный жим, тяга
Любители народный жим (1/2 вес)
Дмитров/Московская область 8 - 9 февраля 2020 г.</t>
  </si>
  <si>
    <t>Кубок Европы 2020 многоповторный жим, тяга
Любители народный жим (1 вес)
Дмитров/Московская область 8 - 9 февраля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</si>
</sst>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26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6" t="s">
        <v>464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8</v>
      </c>
      <c r="C3" s="44" t="s">
        <v>9</v>
      </c>
      <c r="D3" s="46" t="s">
        <v>463</v>
      </c>
      <c r="E3" s="46" t="s">
        <v>6</v>
      </c>
      <c r="F3" s="46" t="s">
        <v>10</v>
      </c>
      <c r="G3" s="46" t="s">
        <v>462</v>
      </c>
      <c r="H3" s="46"/>
      <c r="I3" s="46" t="s">
        <v>381</v>
      </c>
      <c r="J3" s="46" t="s">
        <v>5</v>
      </c>
      <c r="K3" s="47" t="s">
        <v>4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5" t="s">
        <v>380</v>
      </c>
      <c r="H4" s="28" t="s">
        <v>379</v>
      </c>
      <c r="I4" s="45"/>
      <c r="J4" s="45"/>
      <c r="K4" s="48"/>
    </row>
    <row r="5" spans="1:10" ht="15">
      <c r="A5" s="34" t="s">
        <v>42</v>
      </c>
      <c r="B5" s="35"/>
      <c r="C5" s="35"/>
      <c r="D5" s="35"/>
      <c r="E5" s="35"/>
      <c r="F5" s="35"/>
      <c r="G5" s="35"/>
      <c r="H5" s="35"/>
      <c r="I5" s="35"/>
      <c r="J5" s="35"/>
    </row>
    <row r="6" spans="1:11" ht="12.75">
      <c r="A6" s="14" t="s">
        <v>110</v>
      </c>
      <c r="B6" s="14" t="s">
        <v>111</v>
      </c>
      <c r="C6" s="14" t="s">
        <v>112</v>
      </c>
      <c r="D6" s="14" t="str">
        <f>"0,7201"</f>
        <v>0,7201</v>
      </c>
      <c r="E6" s="14" t="s">
        <v>26</v>
      </c>
      <c r="F6" s="14" t="s">
        <v>113</v>
      </c>
      <c r="G6" s="15" t="s">
        <v>169</v>
      </c>
      <c r="H6" s="27" t="s">
        <v>129</v>
      </c>
      <c r="I6" s="14" t="str">
        <f>"2925,0"</f>
        <v>2925,0</v>
      </c>
      <c r="J6" s="15" t="str">
        <f>"2106,2925"</f>
        <v>2106,2925</v>
      </c>
      <c r="K6" s="14" t="s">
        <v>35</v>
      </c>
    </row>
    <row r="8" spans="5:6" ht="15">
      <c r="E8" s="6" t="s">
        <v>11</v>
      </c>
      <c r="F8" s="4" t="s">
        <v>368</v>
      </c>
    </row>
    <row r="9" spans="5:6" ht="15">
      <c r="E9" s="6" t="s">
        <v>12</v>
      </c>
      <c r="F9" s="4" t="s">
        <v>369</v>
      </c>
    </row>
    <row r="10" spans="5:6" ht="15">
      <c r="E10" s="6" t="s">
        <v>13</v>
      </c>
      <c r="F10" s="4" t="s">
        <v>370</v>
      </c>
    </row>
    <row r="11" spans="5:6" ht="15">
      <c r="E11" s="6" t="s">
        <v>14</v>
      </c>
      <c r="F11" s="4" t="s">
        <v>371</v>
      </c>
    </row>
    <row r="12" spans="5:6" ht="15">
      <c r="E12" s="6" t="s">
        <v>14</v>
      </c>
      <c r="F12" s="4" t="s">
        <v>372</v>
      </c>
    </row>
    <row r="13" spans="5:6" ht="15">
      <c r="E13" s="6" t="s">
        <v>15</v>
      </c>
      <c r="F13" s="4" t="s">
        <v>369</v>
      </c>
    </row>
    <row r="14" ht="15">
      <c r="E14" s="6"/>
    </row>
    <row r="16" spans="1:2" ht="18">
      <c r="A16" s="7"/>
      <c r="B16" s="7"/>
    </row>
    <row r="17" spans="1:2" ht="15">
      <c r="A17" s="17"/>
      <c r="B17" s="17"/>
    </row>
    <row r="18" spans="1:2" ht="14.25">
      <c r="A18" s="19"/>
      <c r="B18" s="20"/>
    </row>
    <row r="19" spans="1:5" ht="15">
      <c r="A19" s="21"/>
      <c r="B19" s="21"/>
      <c r="C19" s="21"/>
      <c r="D19" s="21"/>
      <c r="E19" s="21"/>
    </row>
    <row r="20" spans="1:5" ht="12.75">
      <c r="A20" s="18"/>
      <c r="E20" s="22"/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6" t="s">
        <v>429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8</v>
      </c>
      <c r="C3" s="44" t="s">
        <v>9</v>
      </c>
      <c r="D3" s="46" t="s">
        <v>383</v>
      </c>
      <c r="E3" s="46" t="s">
        <v>6</v>
      </c>
      <c r="F3" s="46" t="s">
        <v>10</v>
      </c>
      <c r="G3" s="46" t="s">
        <v>382</v>
      </c>
      <c r="H3" s="46"/>
      <c r="I3" s="46" t="s">
        <v>381</v>
      </c>
      <c r="J3" s="46" t="s">
        <v>5</v>
      </c>
      <c r="K3" s="47" t="s">
        <v>4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5" t="s">
        <v>380</v>
      </c>
      <c r="H4" s="28" t="s">
        <v>379</v>
      </c>
      <c r="I4" s="45"/>
      <c r="J4" s="45"/>
      <c r="K4" s="48"/>
    </row>
    <row r="5" spans="1:10" ht="15">
      <c r="A5" s="34" t="s">
        <v>378</v>
      </c>
      <c r="B5" s="35"/>
      <c r="C5" s="35"/>
      <c r="D5" s="35"/>
      <c r="E5" s="35"/>
      <c r="F5" s="35"/>
      <c r="G5" s="35"/>
      <c r="H5" s="35"/>
      <c r="I5" s="35"/>
      <c r="J5" s="35"/>
    </row>
    <row r="6" spans="1:11" ht="12.75">
      <c r="A6" s="8" t="s">
        <v>428</v>
      </c>
      <c r="B6" s="8" t="s">
        <v>427</v>
      </c>
      <c r="C6" s="8" t="s">
        <v>218</v>
      </c>
      <c r="D6" s="8" t="str">
        <f>"1,0000"</f>
        <v>1,0000</v>
      </c>
      <c r="E6" s="8" t="s">
        <v>26</v>
      </c>
      <c r="F6" s="8" t="s">
        <v>226</v>
      </c>
      <c r="G6" s="9" t="s">
        <v>160</v>
      </c>
      <c r="H6" s="31" t="s">
        <v>426</v>
      </c>
      <c r="I6" s="8" t="str">
        <f>"2550,0"</f>
        <v>2550,0</v>
      </c>
      <c r="J6" s="9" t="str">
        <f>"24,0566"</f>
        <v>24,0566</v>
      </c>
      <c r="K6" s="8" t="s">
        <v>35</v>
      </c>
    </row>
    <row r="7" spans="1:11" ht="12.75">
      <c r="A7" s="23" t="s">
        <v>425</v>
      </c>
      <c r="B7" s="23" t="s">
        <v>424</v>
      </c>
      <c r="C7" s="23" t="s">
        <v>199</v>
      </c>
      <c r="D7" s="23" t="str">
        <f>"1,0000"</f>
        <v>1,0000</v>
      </c>
      <c r="E7" s="23" t="s">
        <v>26</v>
      </c>
      <c r="F7" s="23" t="s">
        <v>139</v>
      </c>
      <c r="G7" s="25" t="s">
        <v>160</v>
      </c>
      <c r="H7" s="30" t="s">
        <v>423</v>
      </c>
      <c r="I7" s="23" t="str">
        <f>"5100,0"</f>
        <v>5100,0</v>
      </c>
      <c r="J7" s="25" t="str">
        <f>"57,6271"</f>
        <v>57,6271</v>
      </c>
      <c r="K7" s="23" t="s">
        <v>35</v>
      </c>
    </row>
    <row r="8" spans="1:11" ht="12.75">
      <c r="A8" s="11" t="s">
        <v>110</v>
      </c>
      <c r="B8" s="11" t="s">
        <v>111</v>
      </c>
      <c r="C8" s="11" t="s">
        <v>112</v>
      </c>
      <c r="D8" s="11" t="str">
        <f>"1,0000"</f>
        <v>1,0000</v>
      </c>
      <c r="E8" s="11" t="s">
        <v>26</v>
      </c>
      <c r="F8" s="11" t="s">
        <v>113</v>
      </c>
      <c r="G8" s="12" t="s">
        <v>160</v>
      </c>
      <c r="H8" s="29" t="s">
        <v>390</v>
      </c>
      <c r="I8" s="11" t="str">
        <f>"1425,0"</f>
        <v>1425,0</v>
      </c>
      <c r="J8" s="12" t="str">
        <f>"15,9753"</f>
        <v>15,9753</v>
      </c>
      <c r="K8" s="11" t="s">
        <v>35</v>
      </c>
    </row>
    <row r="10" spans="5:6" ht="15">
      <c r="E10" s="6" t="s">
        <v>11</v>
      </c>
      <c r="F10" s="4" t="s">
        <v>368</v>
      </c>
    </row>
    <row r="11" spans="5:6" ht="15">
      <c r="E11" s="6" t="s">
        <v>12</v>
      </c>
      <c r="F11" s="4" t="s">
        <v>369</v>
      </c>
    </row>
    <row r="12" spans="5:6" ht="15">
      <c r="E12" s="6" t="s">
        <v>13</v>
      </c>
      <c r="F12" s="4" t="s">
        <v>370</v>
      </c>
    </row>
    <row r="13" spans="5:6" ht="15">
      <c r="E13" s="6" t="s">
        <v>14</v>
      </c>
      <c r="F13" s="4" t="s">
        <v>371</v>
      </c>
    </row>
    <row r="14" spans="5:6" ht="15">
      <c r="E14" s="6" t="s">
        <v>14</v>
      </c>
      <c r="F14" s="4" t="s">
        <v>372</v>
      </c>
    </row>
    <row r="15" spans="5:6" ht="15">
      <c r="E15" s="6" t="s">
        <v>15</v>
      </c>
      <c r="F15" s="4" t="s">
        <v>369</v>
      </c>
    </row>
    <row r="16" ht="15">
      <c r="E16" s="6"/>
    </row>
    <row r="18" spans="1:2" ht="18">
      <c r="A18" s="7"/>
      <c r="B18" s="7"/>
    </row>
    <row r="19" spans="1:2" ht="15">
      <c r="A19" s="17"/>
      <c r="B19" s="17"/>
    </row>
    <row r="20" spans="1:2" ht="14.25">
      <c r="A20" s="19"/>
      <c r="B20" s="20"/>
    </row>
    <row r="21" spans="1:5" ht="15">
      <c r="A21" s="21"/>
      <c r="B21" s="21"/>
      <c r="C21" s="21"/>
      <c r="D21" s="21"/>
      <c r="E21" s="21"/>
    </row>
    <row r="22" spans="1:5" ht="12.75">
      <c r="A22" s="18"/>
      <c r="E22" s="22"/>
    </row>
    <row r="24" spans="1:2" ht="14.25">
      <c r="A24" s="19"/>
      <c r="B24" s="20"/>
    </row>
    <row r="25" spans="1:5" ht="15">
      <c r="A25" s="21"/>
      <c r="B25" s="21"/>
      <c r="C25" s="21"/>
      <c r="D25" s="21"/>
      <c r="E25" s="21"/>
    </row>
    <row r="26" spans="1:5" ht="12.75">
      <c r="A26" s="18"/>
      <c r="E26" s="22"/>
    </row>
    <row r="27" spans="1:5" ht="12.75">
      <c r="A27" s="18"/>
      <c r="E27" s="22"/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6" t="s">
        <v>430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8</v>
      </c>
      <c r="C3" s="44" t="s">
        <v>9</v>
      </c>
      <c r="D3" s="46" t="s">
        <v>383</v>
      </c>
      <c r="E3" s="46" t="s">
        <v>6</v>
      </c>
      <c r="F3" s="46" t="s">
        <v>10</v>
      </c>
      <c r="G3" s="46" t="s">
        <v>382</v>
      </c>
      <c r="H3" s="46"/>
      <c r="I3" s="46" t="s">
        <v>381</v>
      </c>
      <c r="J3" s="46" t="s">
        <v>5</v>
      </c>
      <c r="K3" s="47" t="s">
        <v>4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5" t="s">
        <v>380</v>
      </c>
      <c r="H4" s="28" t="s">
        <v>379</v>
      </c>
      <c r="I4" s="45"/>
      <c r="J4" s="45"/>
      <c r="K4" s="48"/>
    </row>
    <row r="5" spans="1:10" ht="15">
      <c r="A5" s="34" t="s">
        <v>378</v>
      </c>
      <c r="B5" s="35"/>
      <c r="C5" s="35"/>
      <c r="D5" s="35"/>
      <c r="E5" s="35"/>
      <c r="F5" s="35"/>
      <c r="G5" s="35"/>
      <c r="H5" s="35"/>
      <c r="I5" s="35"/>
      <c r="J5" s="35"/>
    </row>
    <row r="6" spans="1:11" ht="12.75">
      <c r="A6" s="14" t="s">
        <v>110</v>
      </c>
      <c r="B6" s="14" t="s">
        <v>111</v>
      </c>
      <c r="C6" s="14" t="s">
        <v>112</v>
      </c>
      <c r="D6" s="14" t="str">
        <f>"1,0000"</f>
        <v>1,0000</v>
      </c>
      <c r="E6" s="14" t="s">
        <v>26</v>
      </c>
      <c r="F6" s="14" t="s">
        <v>113</v>
      </c>
      <c r="G6" s="15" t="s">
        <v>153</v>
      </c>
      <c r="H6" s="27" t="s">
        <v>169</v>
      </c>
      <c r="I6" s="14" t="str">
        <f>"2475,0"</f>
        <v>2475,0</v>
      </c>
      <c r="J6" s="15" t="str">
        <f>"27,7466"</f>
        <v>27,7466</v>
      </c>
      <c r="K6" s="14" t="s">
        <v>35</v>
      </c>
    </row>
    <row r="8" spans="5:6" ht="15">
      <c r="E8" s="6" t="s">
        <v>11</v>
      </c>
      <c r="F8" s="4" t="s">
        <v>368</v>
      </c>
    </row>
    <row r="9" spans="5:6" ht="15">
      <c r="E9" s="6" t="s">
        <v>12</v>
      </c>
      <c r="F9" s="4" t="s">
        <v>369</v>
      </c>
    </row>
    <row r="10" spans="5:6" ht="15">
      <c r="E10" s="6" t="s">
        <v>13</v>
      </c>
      <c r="F10" s="4" t="s">
        <v>370</v>
      </c>
    </row>
    <row r="11" spans="5:6" ht="15">
      <c r="E11" s="6" t="s">
        <v>14</v>
      </c>
      <c r="F11" s="4" t="s">
        <v>371</v>
      </c>
    </row>
    <row r="12" spans="5:6" ht="15">
      <c r="E12" s="6" t="s">
        <v>14</v>
      </c>
      <c r="F12" s="4" t="s">
        <v>372</v>
      </c>
    </row>
    <row r="13" spans="5:6" ht="15">
      <c r="E13" s="6" t="s">
        <v>15</v>
      </c>
      <c r="F13" s="4" t="s">
        <v>369</v>
      </c>
    </row>
    <row r="14" ht="15">
      <c r="E14" s="6"/>
    </row>
    <row r="16" spans="1:2" ht="18">
      <c r="A16" s="7"/>
      <c r="B16" s="7"/>
    </row>
    <row r="17" spans="1:2" ht="15">
      <c r="A17" s="17"/>
      <c r="B17" s="17"/>
    </row>
    <row r="18" spans="1:2" ht="14.25">
      <c r="A18" s="19"/>
      <c r="B18" s="20"/>
    </row>
    <row r="19" spans="1:5" ht="15">
      <c r="A19" s="21"/>
      <c r="B19" s="21"/>
      <c r="C19" s="21"/>
      <c r="D19" s="21"/>
      <c r="E19" s="21"/>
    </row>
    <row r="20" spans="1:5" ht="12.75">
      <c r="A20" s="18"/>
      <c r="E20" s="22"/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6.00390625" style="4" bestFit="1" customWidth="1"/>
    <col min="2" max="2" width="26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6" t="s">
        <v>355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8</v>
      </c>
      <c r="C3" s="44" t="s">
        <v>9</v>
      </c>
      <c r="D3" s="46" t="s">
        <v>18</v>
      </c>
      <c r="E3" s="46" t="s">
        <v>6</v>
      </c>
      <c r="F3" s="46" t="s">
        <v>10</v>
      </c>
      <c r="G3" s="46" t="s">
        <v>21</v>
      </c>
      <c r="H3" s="46"/>
      <c r="I3" s="46"/>
      <c r="J3" s="46"/>
      <c r="K3" s="46" t="s">
        <v>121</v>
      </c>
      <c r="L3" s="46" t="s">
        <v>5</v>
      </c>
      <c r="M3" s="47" t="s">
        <v>4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8"/>
    </row>
    <row r="5" spans="1:12" ht="15">
      <c r="A5" s="34" t="s">
        <v>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ht="12.75">
      <c r="A6" s="14" t="s">
        <v>356</v>
      </c>
      <c r="B6" s="14" t="s">
        <v>357</v>
      </c>
      <c r="C6" s="14" t="s">
        <v>172</v>
      </c>
      <c r="D6" s="14" t="str">
        <f>"0,6764"</f>
        <v>0,6764</v>
      </c>
      <c r="E6" s="14" t="s">
        <v>26</v>
      </c>
      <c r="F6" s="14" t="s">
        <v>139</v>
      </c>
      <c r="G6" s="15" t="s">
        <v>50</v>
      </c>
      <c r="H6" s="15" t="s">
        <v>82</v>
      </c>
      <c r="I6" s="16" t="s">
        <v>83</v>
      </c>
      <c r="J6" s="16"/>
      <c r="K6" s="14" t="str">
        <f>"180,0"</f>
        <v>180,0</v>
      </c>
      <c r="L6" s="15" t="str">
        <f>"121,7520"</f>
        <v>121,7520</v>
      </c>
      <c r="M6" s="14" t="s">
        <v>35</v>
      </c>
    </row>
    <row r="8" spans="1:12" ht="15">
      <c r="A8" s="49" t="s">
        <v>358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4" t="s">
        <v>359</v>
      </c>
      <c r="B9" s="14" t="s">
        <v>360</v>
      </c>
      <c r="C9" s="14" t="s">
        <v>361</v>
      </c>
      <c r="D9" s="14" t="str">
        <f>"0,6051"</f>
        <v>0,6051</v>
      </c>
      <c r="E9" s="14" t="s">
        <v>26</v>
      </c>
      <c r="F9" s="14" t="s">
        <v>139</v>
      </c>
      <c r="G9" s="15" t="s">
        <v>73</v>
      </c>
      <c r="H9" s="15" t="s">
        <v>65</v>
      </c>
      <c r="I9" s="15" t="s">
        <v>47</v>
      </c>
      <c r="J9" s="16"/>
      <c r="K9" s="14" t="str">
        <f>"150,0"</f>
        <v>150,0</v>
      </c>
      <c r="L9" s="15" t="str">
        <f>"90,7575"</f>
        <v>90,7575</v>
      </c>
      <c r="M9" s="14" t="s">
        <v>35</v>
      </c>
    </row>
    <row r="11" spans="1:12" ht="15">
      <c r="A11" s="49" t="s">
        <v>135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14" t="s">
        <v>362</v>
      </c>
      <c r="B12" s="14" t="s">
        <v>363</v>
      </c>
      <c r="C12" s="14" t="s">
        <v>364</v>
      </c>
      <c r="D12" s="14" t="str">
        <f>"0,8468"</f>
        <v>0,8468</v>
      </c>
      <c r="E12" s="14" t="s">
        <v>26</v>
      </c>
      <c r="F12" s="14" t="s">
        <v>139</v>
      </c>
      <c r="G12" s="15" t="s">
        <v>31</v>
      </c>
      <c r="H12" s="15" t="s">
        <v>32</v>
      </c>
      <c r="I12" s="15" t="s">
        <v>173</v>
      </c>
      <c r="J12" s="16"/>
      <c r="K12" s="14" t="str">
        <f>"122,5"</f>
        <v>122,5</v>
      </c>
      <c r="L12" s="15" t="str">
        <f>"127,5916"</f>
        <v>127,5916</v>
      </c>
      <c r="M12" s="14" t="s">
        <v>35</v>
      </c>
    </row>
    <row r="14" spans="1:12" ht="15">
      <c r="A14" s="49" t="s">
        <v>78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3" ht="12.75">
      <c r="A15" s="14" t="s">
        <v>365</v>
      </c>
      <c r="B15" s="14" t="s">
        <v>366</v>
      </c>
      <c r="C15" s="14" t="s">
        <v>367</v>
      </c>
      <c r="D15" s="14" t="str">
        <f>"0,5624"</f>
        <v>0,5624</v>
      </c>
      <c r="E15" s="14" t="s">
        <v>26</v>
      </c>
      <c r="F15" s="14" t="s">
        <v>139</v>
      </c>
      <c r="G15" s="15" t="s">
        <v>65</v>
      </c>
      <c r="H15" s="15" t="s">
        <v>47</v>
      </c>
      <c r="I15" s="16" t="s">
        <v>40</v>
      </c>
      <c r="J15" s="16"/>
      <c r="K15" s="14" t="str">
        <f>"150,0"</f>
        <v>150,0</v>
      </c>
      <c r="L15" s="15" t="str">
        <f>"84,3600"</f>
        <v>84,3600</v>
      </c>
      <c r="M15" s="14" t="s">
        <v>35</v>
      </c>
    </row>
    <row r="17" spans="5:6" ht="15">
      <c r="E17" s="6" t="s">
        <v>11</v>
      </c>
      <c r="F17" s="4" t="s">
        <v>368</v>
      </c>
    </row>
    <row r="18" spans="5:6" ht="15">
      <c r="E18" s="6" t="s">
        <v>12</v>
      </c>
      <c r="F18" s="4" t="s">
        <v>369</v>
      </c>
    </row>
    <row r="19" spans="5:6" ht="15">
      <c r="E19" s="6" t="s">
        <v>13</v>
      </c>
      <c r="F19" s="4" t="s">
        <v>370</v>
      </c>
    </row>
    <row r="20" spans="5:6" ht="15">
      <c r="E20" s="6" t="s">
        <v>14</v>
      </c>
      <c r="F20" s="4" t="s">
        <v>371</v>
      </c>
    </row>
    <row r="21" spans="5:6" ht="15">
      <c r="E21" s="6" t="s">
        <v>14</v>
      </c>
      <c r="F21" s="4" t="s">
        <v>372</v>
      </c>
    </row>
    <row r="22" spans="5:6" ht="15">
      <c r="E22" s="6" t="s">
        <v>15</v>
      </c>
      <c r="F22" s="4" t="s">
        <v>369</v>
      </c>
    </row>
    <row r="23" ht="15">
      <c r="E23" s="6"/>
    </row>
    <row r="25" spans="1:2" ht="18">
      <c r="A25" s="7"/>
      <c r="B25" s="7"/>
    </row>
    <row r="26" spans="1:2" ht="15">
      <c r="A26" s="17"/>
      <c r="B26" s="17"/>
    </row>
    <row r="27" spans="1:2" ht="14.25">
      <c r="A27" s="19"/>
      <c r="B27" s="20"/>
    </row>
    <row r="28" spans="1:5" ht="15">
      <c r="A28" s="21"/>
      <c r="B28" s="21"/>
      <c r="C28" s="21"/>
      <c r="D28" s="21"/>
      <c r="E28" s="21"/>
    </row>
    <row r="29" spans="1:5" ht="12.75">
      <c r="A29" s="18"/>
      <c r="E29" s="22"/>
    </row>
    <row r="30" spans="1:5" ht="12.75">
      <c r="A30" s="18"/>
      <c r="E30" s="22"/>
    </row>
    <row r="33" spans="1:2" ht="15">
      <c r="A33" s="17"/>
      <c r="B33" s="17"/>
    </row>
    <row r="34" spans="1:2" ht="14.25">
      <c r="A34" s="19"/>
      <c r="B34" s="20"/>
    </row>
    <row r="35" spans="1:5" ht="15">
      <c r="A35" s="21"/>
      <c r="B35" s="21"/>
      <c r="C35" s="21"/>
      <c r="D35" s="21"/>
      <c r="E35" s="21"/>
    </row>
    <row r="36" spans="1:5" ht="12.75">
      <c r="A36" s="18"/>
      <c r="E36" s="22"/>
    </row>
    <row r="38" spans="1:2" ht="14.25">
      <c r="A38" s="19"/>
      <c r="B38" s="20"/>
    </row>
    <row r="39" spans="1:5" ht="15">
      <c r="A39" s="21"/>
      <c r="B39" s="21"/>
      <c r="C39" s="21"/>
      <c r="D39" s="21"/>
      <c r="E39" s="21"/>
    </row>
    <row r="40" spans="1:5" ht="12.75">
      <c r="A40" s="18"/>
      <c r="E40" s="22"/>
    </row>
  </sheetData>
  <sheetProtection/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7.00390625" style="4" bestFit="1" customWidth="1"/>
    <col min="14" max="16384" width="9.125" style="3" customWidth="1"/>
  </cols>
  <sheetData>
    <row r="1" spans="1:13" s="2" customFormat="1" ht="28.5" customHeight="1">
      <c r="A1" s="36" t="s">
        <v>324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8</v>
      </c>
      <c r="C3" s="44" t="s">
        <v>9</v>
      </c>
      <c r="D3" s="46" t="s">
        <v>18</v>
      </c>
      <c r="E3" s="46" t="s">
        <v>6</v>
      </c>
      <c r="F3" s="46" t="s">
        <v>10</v>
      </c>
      <c r="G3" s="46" t="s">
        <v>21</v>
      </c>
      <c r="H3" s="46"/>
      <c r="I3" s="46"/>
      <c r="J3" s="46"/>
      <c r="K3" s="46" t="s">
        <v>121</v>
      </c>
      <c r="L3" s="46" t="s">
        <v>5</v>
      </c>
      <c r="M3" s="47" t="s">
        <v>4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8"/>
    </row>
    <row r="5" spans="1:12" ht="15">
      <c r="A5" s="34" t="s">
        <v>142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ht="12.75">
      <c r="A6" s="14" t="s">
        <v>325</v>
      </c>
      <c r="B6" s="14" t="s">
        <v>326</v>
      </c>
      <c r="C6" s="14" t="s">
        <v>327</v>
      </c>
      <c r="D6" s="14" t="str">
        <f>"0,9770"</f>
        <v>0,9770</v>
      </c>
      <c r="E6" s="14" t="s">
        <v>26</v>
      </c>
      <c r="F6" s="14" t="s">
        <v>27</v>
      </c>
      <c r="G6" s="15" t="s">
        <v>328</v>
      </c>
      <c r="H6" s="16" t="s">
        <v>329</v>
      </c>
      <c r="I6" s="16" t="s">
        <v>329</v>
      </c>
      <c r="J6" s="16"/>
      <c r="K6" s="14" t="str">
        <f>"102,5"</f>
        <v>102,5</v>
      </c>
      <c r="L6" s="15" t="str">
        <f>"100,1425"</f>
        <v>100,1425</v>
      </c>
      <c r="M6" s="14" t="s">
        <v>35</v>
      </c>
    </row>
    <row r="8" spans="1:12" ht="15">
      <c r="A8" s="49" t="s">
        <v>124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4" t="s">
        <v>330</v>
      </c>
      <c r="B9" s="14" t="s">
        <v>331</v>
      </c>
      <c r="C9" s="14" t="s">
        <v>332</v>
      </c>
      <c r="D9" s="14" t="str">
        <f>"0,9215"</f>
        <v>0,9215</v>
      </c>
      <c r="E9" s="14" t="s">
        <v>26</v>
      </c>
      <c r="F9" s="14" t="s">
        <v>139</v>
      </c>
      <c r="G9" s="15" t="s">
        <v>73</v>
      </c>
      <c r="H9" s="15" t="s">
        <v>38</v>
      </c>
      <c r="I9" s="16" t="s">
        <v>206</v>
      </c>
      <c r="J9" s="16"/>
      <c r="K9" s="14" t="str">
        <f>"125,0"</f>
        <v>125,0</v>
      </c>
      <c r="L9" s="15" t="str">
        <f>"115,1875"</f>
        <v>115,1875</v>
      </c>
      <c r="M9" s="14" t="s">
        <v>35</v>
      </c>
    </row>
    <row r="11" spans="1:12" ht="15">
      <c r="A11" s="49" t="s">
        <v>42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8" t="s">
        <v>333</v>
      </c>
      <c r="B12" s="8" t="s">
        <v>334</v>
      </c>
      <c r="C12" s="8" t="s">
        <v>335</v>
      </c>
      <c r="D12" s="8" t="str">
        <f>"0,6000"</f>
        <v>0,6000</v>
      </c>
      <c r="E12" s="8" t="s">
        <v>26</v>
      </c>
      <c r="F12" s="8" t="s">
        <v>64</v>
      </c>
      <c r="G12" s="9" t="s">
        <v>92</v>
      </c>
      <c r="H12" s="10" t="s">
        <v>336</v>
      </c>
      <c r="I12" s="10" t="s">
        <v>336</v>
      </c>
      <c r="J12" s="10"/>
      <c r="K12" s="8" t="str">
        <f>"240,0"</f>
        <v>240,0</v>
      </c>
      <c r="L12" s="9" t="str">
        <f>"144,0000"</f>
        <v>144,0000</v>
      </c>
      <c r="M12" s="8" t="s">
        <v>84</v>
      </c>
    </row>
    <row r="13" spans="1:13" ht="12.75">
      <c r="A13" s="23" t="s">
        <v>337</v>
      </c>
      <c r="B13" s="23" t="s">
        <v>338</v>
      </c>
      <c r="C13" s="23" t="s">
        <v>339</v>
      </c>
      <c r="D13" s="23" t="str">
        <f>"0,6059"</f>
        <v>0,6059</v>
      </c>
      <c r="E13" s="23" t="s">
        <v>26</v>
      </c>
      <c r="F13" s="23" t="s">
        <v>340</v>
      </c>
      <c r="G13" s="25" t="s">
        <v>93</v>
      </c>
      <c r="H13" s="25" t="s">
        <v>94</v>
      </c>
      <c r="I13" s="25" t="s">
        <v>34</v>
      </c>
      <c r="J13" s="24"/>
      <c r="K13" s="23" t="str">
        <f>"165,0"</f>
        <v>165,0</v>
      </c>
      <c r="L13" s="25" t="str">
        <f>"137,9634"</f>
        <v>137,9634</v>
      </c>
      <c r="M13" s="23" t="s">
        <v>35</v>
      </c>
    </row>
    <row r="14" spans="1:13" ht="12.75">
      <c r="A14" s="11" t="s">
        <v>341</v>
      </c>
      <c r="B14" s="11" t="s">
        <v>342</v>
      </c>
      <c r="C14" s="11" t="s">
        <v>343</v>
      </c>
      <c r="D14" s="11" t="str">
        <f>"0,5956"</f>
        <v>0,5956</v>
      </c>
      <c r="E14" s="11" t="s">
        <v>26</v>
      </c>
      <c r="F14" s="11" t="s">
        <v>340</v>
      </c>
      <c r="G14" s="12" t="s">
        <v>47</v>
      </c>
      <c r="H14" s="12" t="s">
        <v>40</v>
      </c>
      <c r="I14" s="12" t="s">
        <v>41</v>
      </c>
      <c r="J14" s="13"/>
      <c r="K14" s="11" t="str">
        <f>"175,0"</f>
        <v>175,0</v>
      </c>
      <c r="L14" s="12" t="str">
        <f>"171,4584"</f>
        <v>171,4584</v>
      </c>
      <c r="M14" s="11" t="s">
        <v>35</v>
      </c>
    </row>
    <row r="16" spans="1:12" ht="15">
      <c r="A16" s="49" t="s">
        <v>85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3" ht="12.75">
      <c r="A17" s="8" t="s">
        <v>344</v>
      </c>
      <c r="B17" s="8" t="s">
        <v>345</v>
      </c>
      <c r="C17" s="8" t="s">
        <v>346</v>
      </c>
      <c r="D17" s="8" t="str">
        <f>"0,5432"</f>
        <v>0,5432</v>
      </c>
      <c r="E17" s="8" t="s">
        <v>26</v>
      </c>
      <c r="F17" s="8" t="s">
        <v>27</v>
      </c>
      <c r="G17" s="9" t="s">
        <v>82</v>
      </c>
      <c r="H17" s="9" t="s">
        <v>347</v>
      </c>
      <c r="I17" s="10" t="s">
        <v>238</v>
      </c>
      <c r="J17" s="10"/>
      <c r="K17" s="8" t="str">
        <f>"205,0"</f>
        <v>205,0</v>
      </c>
      <c r="L17" s="9" t="str">
        <f>"114,6967"</f>
        <v>114,6967</v>
      </c>
      <c r="M17" s="8" t="s">
        <v>35</v>
      </c>
    </row>
    <row r="18" spans="1:13" ht="12.75">
      <c r="A18" s="23" t="s">
        <v>348</v>
      </c>
      <c r="B18" s="23" t="s">
        <v>349</v>
      </c>
      <c r="C18" s="23" t="s">
        <v>317</v>
      </c>
      <c r="D18" s="23" t="str">
        <f>"0,5365"</f>
        <v>0,5365</v>
      </c>
      <c r="E18" s="23" t="s">
        <v>26</v>
      </c>
      <c r="F18" s="23" t="s">
        <v>27</v>
      </c>
      <c r="G18" s="25" t="s">
        <v>350</v>
      </c>
      <c r="H18" s="25" t="s">
        <v>351</v>
      </c>
      <c r="I18" s="25" t="s">
        <v>352</v>
      </c>
      <c r="J18" s="24"/>
      <c r="K18" s="23" t="str">
        <f>"277,5"</f>
        <v>277,5</v>
      </c>
      <c r="L18" s="25" t="str">
        <f>"148,8787"</f>
        <v>148,8787</v>
      </c>
      <c r="M18" s="23" t="s">
        <v>35</v>
      </c>
    </row>
    <row r="19" spans="1:13" ht="12.75">
      <c r="A19" s="23" t="s">
        <v>353</v>
      </c>
      <c r="B19" s="23" t="s">
        <v>87</v>
      </c>
      <c r="C19" s="23" t="s">
        <v>88</v>
      </c>
      <c r="D19" s="23" t="str">
        <f>"0,5437"</f>
        <v>0,5437</v>
      </c>
      <c r="E19" s="23" t="s">
        <v>26</v>
      </c>
      <c r="F19" s="23" t="s">
        <v>89</v>
      </c>
      <c r="G19" s="25" t="s">
        <v>96</v>
      </c>
      <c r="H19" s="25" t="s">
        <v>97</v>
      </c>
      <c r="I19" s="24"/>
      <c r="J19" s="24"/>
      <c r="K19" s="23" t="str">
        <f>"270,0"</f>
        <v>270,0</v>
      </c>
      <c r="L19" s="25" t="str">
        <f>"146,7990"</f>
        <v>146,7990</v>
      </c>
      <c r="M19" s="23" t="s">
        <v>35</v>
      </c>
    </row>
    <row r="20" spans="1:13" ht="12.75">
      <c r="A20" s="23" t="s">
        <v>354</v>
      </c>
      <c r="B20" s="23" t="s">
        <v>99</v>
      </c>
      <c r="C20" s="23" t="s">
        <v>100</v>
      </c>
      <c r="D20" s="23" t="str">
        <f>"0,5391"</f>
        <v>0,5391</v>
      </c>
      <c r="E20" s="23" t="s">
        <v>26</v>
      </c>
      <c r="F20" s="23" t="s">
        <v>101</v>
      </c>
      <c r="G20" s="25" t="s">
        <v>90</v>
      </c>
      <c r="H20" s="25" t="s">
        <v>278</v>
      </c>
      <c r="I20" s="25" t="s">
        <v>92</v>
      </c>
      <c r="J20" s="24"/>
      <c r="K20" s="23" t="str">
        <f>"240,0"</f>
        <v>240,0</v>
      </c>
      <c r="L20" s="25" t="str">
        <f>"129,3840"</f>
        <v>129,3840</v>
      </c>
      <c r="M20" s="23" t="s">
        <v>35</v>
      </c>
    </row>
    <row r="21" spans="1:13" ht="12.75">
      <c r="A21" s="11" t="s">
        <v>86</v>
      </c>
      <c r="B21" s="11" t="s">
        <v>102</v>
      </c>
      <c r="C21" s="11" t="s">
        <v>88</v>
      </c>
      <c r="D21" s="11" t="str">
        <f>"0,5437"</f>
        <v>0,5437</v>
      </c>
      <c r="E21" s="11" t="s">
        <v>26</v>
      </c>
      <c r="F21" s="11" t="s">
        <v>89</v>
      </c>
      <c r="G21" s="12" t="s">
        <v>96</v>
      </c>
      <c r="H21" s="12" t="s">
        <v>97</v>
      </c>
      <c r="I21" s="13"/>
      <c r="J21" s="13"/>
      <c r="K21" s="11" t="str">
        <f>"270,0"</f>
        <v>270,0</v>
      </c>
      <c r="L21" s="12" t="str">
        <f>"160,3045"</f>
        <v>160,3045</v>
      </c>
      <c r="M21" s="11" t="s">
        <v>35</v>
      </c>
    </row>
    <row r="23" spans="5:6" ht="15">
      <c r="E23" s="6" t="s">
        <v>11</v>
      </c>
      <c r="F23" s="4" t="s">
        <v>368</v>
      </c>
    </row>
    <row r="24" spans="5:6" ht="15">
      <c r="E24" s="6" t="s">
        <v>12</v>
      </c>
      <c r="F24" s="4" t="s">
        <v>369</v>
      </c>
    </row>
    <row r="25" spans="5:6" ht="15">
      <c r="E25" s="6" t="s">
        <v>13</v>
      </c>
      <c r="F25" s="4" t="s">
        <v>370</v>
      </c>
    </row>
    <row r="26" spans="5:6" ht="15">
      <c r="E26" s="6" t="s">
        <v>14</v>
      </c>
      <c r="F26" s="4" t="s">
        <v>371</v>
      </c>
    </row>
    <row r="27" spans="5:6" ht="15">
      <c r="E27" s="6" t="s">
        <v>14</v>
      </c>
      <c r="F27" s="4" t="s">
        <v>372</v>
      </c>
    </row>
    <row r="28" spans="5:6" ht="15">
      <c r="E28" s="6" t="s">
        <v>15</v>
      </c>
      <c r="F28" s="4" t="s">
        <v>369</v>
      </c>
    </row>
    <row r="29" ht="15">
      <c r="E29" s="6"/>
    </row>
    <row r="31" spans="1:2" ht="18">
      <c r="A31" s="7"/>
      <c r="B31" s="7"/>
    </row>
    <row r="32" spans="1:2" ht="15">
      <c r="A32" s="17"/>
      <c r="B32" s="17"/>
    </row>
    <row r="33" spans="1:2" ht="14.25">
      <c r="A33" s="19"/>
      <c r="B33" s="20"/>
    </row>
    <row r="34" spans="1:5" ht="15">
      <c r="A34" s="21"/>
      <c r="B34" s="21"/>
      <c r="C34" s="21"/>
      <c r="D34" s="21"/>
      <c r="E34" s="21"/>
    </row>
    <row r="35" spans="1:5" ht="12.75">
      <c r="A35" s="18"/>
      <c r="E35" s="22"/>
    </row>
    <row r="37" spans="1:2" ht="14.25">
      <c r="A37" s="19"/>
      <c r="B37" s="20"/>
    </row>
    <row r="38" spans="1:5" ht="15">
      <c r="A38" s="21"/>
      <c r="B38" s="21"/>
      <c r="C38" s="21"/>
      <c r="D38" s="21"/>
      <c r="E38" s="21"/>
    </row>
    <row r="39" spans="1:5" ht="12.75">
      <c r="A39" s="18"/>
      <c r="E39" s="22"/>
    </row>
    <row r="42" spans="1:2" ht="15">
      <c r="A42" s="17"/>
      <c r="B42" s="17"/>
    </row>
    <row r="43" spans="1:2" ht="14.25">
      <c r="A43" s="19"/>
      <c r="B43" s="20"/>
    </row>
    <row r="44" spans="1:5" ht="15">
      <c r="A44" s="21"/>
      <c r="B44" s="21"/>
      <c r="C44" s="21"/>
      <c r="D44" s="21"/>
      <c r="E44" s="21"/>
    </row>
    <row r="45" spans="1:5" ht="12.75">
      <c r="A45" s="18"/>
      <c r="E45" s="22"/>
    </row>
    <row r="47" spans="1:2" ht="14.25">
      <c r="A47" s="19"/>
      <c r="B47" s="20"/>
    </row>
    <row r="48" spans="1:5" ht="15">
      <c r="A48" s="21"/>
      <c r="B48" s="21"/>
      <c r="C48" s="21"/>
      <c r="D48" s="21"/>
      <c r="E48" s="21"/>
    </row>
    <row r="49" spans="1:5" ht="12.75">
      <c r="A49" s="18"/>
      <c r="E49" s="22"/>
    </row>
    <row r="50" spans="1:5" ht="12.75">
      <c r="A50" s="18"/>
      <c r="E50" s="22"/>
    </row>
    <row r="51" spans="1:5" ht="12.75">
      <c r="A51" s="18"/>
      <c r="E51" s="22"/>
    </row>
    <row r="52" spans="1:5" ht="12.75">
      <c r="A52" s="18"/>
      <c r="E52" s="22"/>
    </row>
    <row r="54" spans="1:2" ht="14.25">
      <c r="A54" s="19"/>
      <c r="B54" s="20"/>
    </row>
    <row r="55" spans="1:5" ht="15">
      <c r="A55" s="21"/>
      <c r="B55" s="21"/>
      <c r="C55" s="21"/>
      <c r="D55" s="21"/>
      <c r="E55" s="21"/>
    </row>
    <row r="56" spans="1:5" ht="12.75">
      <c r="A56" s="18"/>
      <c r="E56" s="22"/>
    </row>
    <row r="57" spans="1:5" ht="12.75">
      <c r="A57" s="18"/>
      <c r="E57" s="22"/>
    </row>
    <row r="58" spans="1:5" ht="12.75">
      <c r="A58" s="18"/>
      <c r="E58" s="22"/>
    </row>
  </sheetData>
  <sheetProtection/>
  <mergeCells count="15">
    <mergeCell ref="A16:L16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10" width="5.62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6" t="s">
        <v>306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8</v>
      </c>
      <c r="C3" s="44" t="s">
        <v>9</v>
      </c>
      <c r="D3" s="46" t="s">
        <v>18</v>
      </c>
      <c r="E3" s="46" t="s">
        <v>6</v>
      </c>
      <c r="F3" s="46" t="s">
        <v>10</v>
      </c>
      <c r="G3" s="46" t="s">
        <v>20</v>
      </c>
      <c r="H3" s="46"/>
      <c r="I3" s="46"/>
      <c r="J3" s="46"/>
      <c r="K3" s="46" t="s">
        <v>121</v>
      </c>
      <c r="L3" s="46" t="s">
        <v>5</v>
      </c>
      <c r="M3" s="47" t="s">
        <v>4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8"/>
    </row>
    <row r="5" spans="1:12" ht="15">
      <c r="A5" s="34" t="s">
        <v>78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ht="12.75">
      <c r="A6" s="14" t="s">
        <v>307</v>
      </c>
      <c r="B6" s="14" t="s">
        <v>308</v>
      </c>
      <c r="C6" s="14" t="s">
        <v>210</v>
      </c>
      <c r="D6" s="14" t="str">
        <f>"0,5565"</f>
        <v>0,5565</v>
      </c>
      <c r="E6" s="14" t="s">
        <v>26</v>
      </c>
      <c r="F6" s="14" t="s">
        <v>139</v>
      </c>
      <c r="G6" s="16" t="s">
        <v>309</v>
      </c>
      <c r="H6" s="16" t="s">
        <v>309</v>
      </c>
      <c r="I6" s="16" t="s">
        <v>309</v>
      </c>
      <c r="J6" s="16"/>
      <c r="K6" s="14" t="str">
        <f>"0.00"</f>
        <v>0.00</v>
      </c>
      <c r="L6" s="15" t="str">
        <f>"0,0000"</f>
        <v>0,0000</v>
      </c>
      <c r="M6" s="14" t="s">
        <v>35</v>
      </c>
    </row>
    <row r="8" spans="1:12" ht="15">
      <c r="A8" s="49" t="s">
        <v>85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8" t="s">
        <v>310</v>
      </c>
      <c r="B9" s="8" t="s">
        <v>311</v>
      </c>
      <c r="C9" s="8" t="s">
        <v>312</v>
      </c>
      <c r="D9" s="8" t="str">
        <f>"0,5399"</f>
        <v>0,5399</v>
      </c>
      <c r="E9" s="8" t="s">
        <v>26</v>
      </c>
      <c r="F9" s="8" t="s">
        <v>139</v>
      </c>
      <c r="G9" s="9" t="s">
        <v>313</v>
      </c>
      <c r="H9" s="9" t="s">
        <v>309</v>
      </c>
      <c r="I9" s="10" t="s">
        <v>314</v>
      </c>
      <c r="J9" s="10"/>
      <c r="K9" s="8" t="str">
        <f>"370,0"</f>
        <v>370,0</v>
      </c>
      <c r="L9" s="9" t="str">
        <f>"199,7630"</f>
        <v>199,7630</v>
      </c>
      <c r="M9" s="8" t="s">
        <v>35</v>
      </c>
    </row>
    <row r="10" spans="1:13" ht="12.75">
      <c r="A10" s="11" t="s">
        <v>315</v>
      </c>
      <c r="B10" s="11" t="s">
        <v>316</v>
      </c>
      <c r="C10" s="11" t="s">
        <v>317</v>
      </c>
      <c r="D10" s="11" t="str">
        <f>"0,5365"</f>
        <v>0,5365</v>
      </c>
      <c r="E10" s="11" t="s">
        <v>26</v>
      </c>
      <c r="F10" s="11" t="s">
        <v>139</v>
      </c>
      <c r="G10" s="12" t="s">
        <v>104</v>
      </c>
      <c r="H10" s="12" t="s">
        <v>318</v>
      </c>
      <c r="I10" s="12" t="s">
        <v>319</v>
      </c>
      <c r="J10" s="13"/>
      <c r="K10" s="11" t="str">
        <f>"360,0"</f>
        <v>360,0</v>
      </c>
      <c r="L10" s="12" t="str">
        <f>"199,1273"</f>
        <v>199,1273</v>
      </c>
      <c r="M10" s="11" t="s">
        <v>35</v>
      </c>
    </row>
    <row r="12" spans="1:12" ht="15">
      <c r="A12" s="49" t="s">
        <v>114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3" ht="12.75">
      <c r="A13" s="14" t="s">
        <v>320</v>
      </c>
      <c r="B13" s="14" t="s">
        <v>321</v>
      </c>
      <c r="C13" s="14" t="s">
        <v>266</v>
      </c>
      <c r="D13" s="14" t="str">
        <f>"0,5279"</f>
        <v>0,5279</v>
      </c>
      <c r="E13" s="14" t="s">
        <v>26</v>
      </c>
      <c r="F13" s="14" t="s">
        <v>322</v>
      </c>
      <c r="G13" s="15" t="s">
        <v>305</v>
      </c>
      <c r="H13" s="15" t="s">
        <v>319</v>
      </c>
      <c r="I13" s="15" t="s">
        <v>314</v>
      </c>
      <c r="J13" s="16" t="s">
        <v>323</v>
      </c>
      <c r="K13" s="14" t="str">
        <f>"380,0"</f>
        <v>380,0</v>
      </c>
      <c r="L13" s="15" t="str">
        <f>"200,6020"</f>
        <v>200,6020</v>
      </c>
      <c r="M13" s="14" t="s">
        <v>35</v>
      </c>
    </row>
    <row r="15" spans="5:6" ht="15">
      <c r="E15" s="6" t="s">
        <v>11</v>
      </c>
      <c r="F15" s="4" t="s">
        <v>368</v>
      </c>
    </row>
    <row r="16" spans="5:6" ht="15">
      <c r="E16" s="6" t="s">
        <v>12</v>
      </c>
      <c r="F16" s="4" t="s">
        <v>369</v>
      </c>
    </row>
    <row r="17" spans="5:6" ht="15">
      <c r="E17" s="6" t="s">
        <v>13</v>
      </c>
      <c r="F17" s="4" t="s">
        <v>370</v>
      </c>
    </row>
    <row r="18" spans="5:6" ht="15">
      <c r="E18" s="6" t="s">
        <v>14</v>
      </c>
      <c r="F18" s="4" t="s">
        <v>371</v>
      </c>
    </row>
    <row r="19" spans="5:6" ht="15">
      <c r="E19" s="6" t="s">
        <v>14</v>
      </c>
      <c r="F19" s="4" t="s">
        <v>372</v>
      </c>
    </row>
    <row r="20" spans="5:6" ht="15">
      <c r="E20" s="6" t="s">
        <v>15</v>
      </c>
      <c r="F20" s="4" t="s">
        <v>369</v>
      </c>
    </row>
    <row r="21" ht="15">
      <c r="E21" s="6"/>
    </row>
    <row r="23" spans="1:2" ht="18">
      <c r="A23" s="7"/>
      <c r="B23" s="7"/>
    </row>
    <row r="24" spans="1:2" ht="15">
      <c r="A24" s="17"/>
      <c r="B24" s="17"/>
    </row>
    <row r="25" spans="1:2" ht="14.25">
      <c r="A25" s="19"/>
      <c r="B25" s="20"/>
    </row>
    <row r="26" spans="1:5" ht="15">
      <c r="A26" s="21"/>
      <c r="B26" s="21"/>
      <c r="C26" s="21"/>
      <c r="D26" s="21"/>
      <c r="E26" s="21"/>
    </row>
    <row r="27" spans="1:5" ht="12.75">
      <c r="A27" s="18"/>
      <c r="E27" s="22"/>
    </row>
    <row r="28" spans="1:5" ht="12.75">
      <c r="A28" s="18"/>
      <c r="E28" s="22"/>
    </row>
    <row r="30" spans="1:2" ht="14.25">
      <c r="A30" s="19"/>
      <c r="B30" s="20"/>
    </row>
    <row r="31" spans="1:5" ht="15">
      <c r="A31" s="21"/>
      <c r="B31" s="21"/>
      <c r="C31" s="21"/>
      <c r="D31" s="21"/>
      <c r="E31" s="21"/>
    </row>
    <row r="32" spans="1:5" ht="12.75">
      <c r="A32" s="18"/>
      <c r="E32" s="22"/>
    </row>
  </sheetData>
  <sheetProtection/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6" t="s">
        <v>299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8</v>
      </c>
      <c r="C3" s="44" t="s">
        <v>9</v>
      </c>
      <c r="D3" s="46" t="s">
        <v>18</v>
      </c>
      <c r="E3" s="46" t="s">
        <v>6</v>
      </c>
      <c r="F3" s="46" t="s">
        <v>10</v>
      </c>
      <c r="G3" s="46" t="s">
        <v>20</v>
      </c>
      <c r="H3" s="46"/>
      <c r="I3" s="46"/>
      <c r="J3" s="46"/>
      <c r="K3" s="46" t="s">
        <v>121</v>
      </c>
      <c r="L3" s="46" t="s">
        <v>5</v>
      </c>
      <c r="M3" s="47" t="s">
        <v>4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8"/>
    </row>
    <row r="5" spans="1:12" ht="15">
      <c r="A5" s="34" t="s">
        <v>85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ht="12.75">
      <c r="A6" s="14" t="s">
        <v>300</v>
      </c>
      <c r="B6" s="14" t="s">
        <v>301</v>
      </c>
      <c r="C6" s="14" t="s">
        <v>302</v>
      </c>
      <c r="D6" s="14" t="str">
        <f>"0,5405"</f>
        <v>0,5405</v>
      </c>
      <c r="E6" s="14" t="s">
        <v>26</v>
      </c>
      <c r="F6" s="14" t="s">
        <v>139</v>
      </c>
      <c r="G6" s="15" t="s">
        <v>303</v>
      </c>
      <c r="H6" s="15" t="s">
        <v>304</v>
      </c>
      <c r="I6" s="15" t="s">
        <v>305</v>
      </c>
      <c r="J6" s="16"/>
      <c r="K6" s="14" t="str">
        <f>"325,0"</f>
        <v>325,0</v>
      </c>
      <c r="L6" s="15" t="str">
        <f>"175,6625"</f>
        <v>175,6625</v>
      </c>
      <c r="M6" s="14" t="s">
        <v>35</v>
      </c>
    </row>
    <row r="8" spans="5:6" ht="15">
      <c r="E8" s="6" t="s">
        <v>11</v>
      </c>
      <c r="F8" s="4" t="s">
        <v>368</v>
      </c>
    </row>
    <row r="9" spans="5:6" ht="15">
      <c r="E9" s="6" t="s">
        <v>12</v>
      </c>
      <c r="F9" s="4" t="s">
        <v>369</v>
      </c>
    </row>
    <row r="10" spans="5:6" ht="15">
      <c r="E10" s="6" t="s">
        <v>13</v>
      </c>
      <c r="F10" s="4" t="s">
        <v>370</v>
      </c>
    </row>
    <row r="11" spans="5:6" ht="15">
      <c r="E11" s="6" t="s">
        <v>14</v>
      </c>
      <c r="F11" s="4" t="s">
        <v>371</v>
      </c>
    </row>
    <row r="12" spans="5:6" ht="15">
      <c r="E12" s="6" t="s">
        <v>14</v>
      </c>
      <c r="F12" s="4" t="s">
        <v>372</v>
      </c>
    </row>
    <row r="13" spans="5:6" ht="15">
      <c r="E13" s="6" t="s">
        <v>15</v>
      </c>
      <c r="F13" s="4" t="s">
        <v>369</v>
      </c>
    </row>
    <row r="14" ht="15">
      <c r="E14" s="6"/>
    </row>
    <row r="16" spans="1:2" ht="18">
      <c r="A16" s="7"/>
      <c r="B16" s="7"/>
    </row>
    <row r="17" spans="1:2" ht="15">
      <c r="A17" s="17"/>
      <c r="B17" s="17"/>
    </row>
    <row r="18" spans="1:2" ht="14.25">
      <c r="A18" s="19"/>
      <c r="B18" s="20"/>
    </row>
    <row r="19" spans="1:5" ht="15">
      <c r="A19" s="21"/>
      <c r="B19" s="21"/>
      <c r="C19" s="21"/>
      <c r="D19" s="21"/>
      <c r="E19" s="21"/>
    </row>
    <row r="20" spans="1:5" ht="12.75">
      <c r="A20" s="18"/>
      <c r="E20" s="22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8">
      <selection activeCell="F30" sqref="F30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6" t="s">
        <v>279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8</v>
      </c>
      <c r="C3" s="44" t="s">
        <v>9</v>
      </c>
      <c r="D3" s="46" t="s">
        <v>18</v>
      </c>
      <c r="E3" s="46" t="s">
        <v>6</v>
      </c>
      <c r="F3" s="46" t="s">
        <v>10</v>
      </c>
      <c r="G3" s="46" t="s">
        <v>20</v>
      </c>
      <c r="H3" s="46"/>
      <c r="I3" s="46"/>
      <c r="J3" s="46"/>
      <c r="K3" s="46" t="s">
        <v>121</v>
      </c>
      <c r="L3" s="46" t="s">
        <v>5</v>
      </c>
      <c r="M3" s="47" t="s">
        <v>4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8"/>
    </row>
    <row r="5" spans="1:12" ht="15">
      <c r="A5" s="34" t="s">
        <v>156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ht="12.75">
      <c r="A6" s="14" t="s">
        <v>280</v>
      </c>
      <c r="B6" s="14" t="s">
        <v>281</v>
      </c>
      <c r="C6" s="14" t="s">
        <v>282</v>
      </c>
      <c r="D6" s="14" t="str">
        <f>"0,7803"</f>
        <v>0,7803</v>
      </c>
      <c r="E6" s="14" t="s">
        <v>26</v>
      </c>
      <c r="F6" s="14" t="s">
        <v>139</v>
      </c>
      <c r="G6" s="16" t="s">
        <v>73</v>
      </c>
      <c r="H6" s="15" t="s">
        <v>73</v>
      </c>
      <c r="I6" s="16" t="s">
        <v>32</v>
      </c>
      <c r="J6" s="16"/>
      <c r="K6" s="14" t="str">
        <f>"110,0"</f>
        <v>110,0</v>
      </c>
      <c r="L6" s="15" t="str">
        <f>"88,4882"</f>
        <v>88,4882</v>
      </c>
      <c r="M6" s="14" t="s">
        <v>35</v>
      </c>
    </row>
    <row r="8" spans="1:12" ht="15">
      <c r="A8" s="49" t="s">
        <v>156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4" t="s">
        <v>157</v>
      </c>
      <c r="B9" s="14" t="s">
        <v>158</v>
      </c>
      <c r="C9" s="14" t="s">
        <v>159</v>
      </c>
      <c r="D9" s="14" t="str">
        <f>"0,7514"</f>
        <v>0,7514</v>
      </c>
      <c r="E9" s="14" t="s">
        <v>26</v>
      </c>
      <c r="F9" s="14" t="s">
        <v>139</v>
      </c>
      <c r="G9" s="15" t="s">
        <v>73</v>
      </c>
      <c r="H9" s="16" t="s">
        <v>39</v>
      </c>
      <c r="I9" s="16" t="s">
        <v>39</v>
      </c>
      <c r="J9" s="16"/>
      <c r="K9" s="14" t="str">
        <f>"110,0"</f>
        <v>110,0</v>
      </c>
      <c r="L9" s="15" t="str">
        <f>"105,8798"</f>
        <v>105,8798</v>
      </c>
      <c r="M9" s="14" t="s">
        <v>35</v>
      </c>
    </row>
    <row r="11" spans="1:12" ht="15">
      <c r="A11" s="49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14" t="s">
        <v>283</v>
      </c>
      <c r="B12" s="14" t="s">
        <v>284</v>
      </c>
      <c r="C12" s="14" t="s">
        <v>172</v>
      </c>
      <c r="D12" s="14" t="str">
        <f>"0,6219"</f>
        <v>0,6219</v>
      </c>
      <c r="E12" s="14" t="s">
        <v>26</v>
      </c>
      <c r="F12" s="14" t="s">
        <v>139</v>
      </c>
      <c r="G12" s="15" t="s">
        <v>46</v>
      </c>
      <c r="H12" s="15" t="s">
        <v>47</v>
      </c>
      <c r="I12" s="15" t="s">
        <v>40</v>
      </c>
      <c r="J12" s="16"/>
      <c r="K12" s="14" t="str">
        <f>"160,0"</f>
        <v>160,0</v>
      </c>
      <c r="L12" s="15" t="str">
        <f>"180,1022"</f>
        <v>180,1022</v>
      </c>
      <c r="M12" s="14" t="s">
        <v>35</v>
      </c>
    </row>
    <row r="14" spans="1:12" ht="15">
      <c r="A14" s="49" t="s">
        <v>78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3" ht="12.75">
      <c r="A15" s="14" t="s">
        <v>285</v>
      </c>
      <c r="B15" s="14" t="s">
        <v>286</v>
      </c>
      <c r="C15" s="14" t="s">
        <v>287</v>
      </c>
      <c r="D15" s="14" t="str">
        <f>"0,5586"</f>
        <v>0,5586</v>
      </c>
      <c r="E15" s="14" t="s">
        <v>26</v>
      </c>
      <c r="F15" s="14" t="s">
        <v>139</v>
      </c>
      <c r="G15" s="15" t="s">
        <v>47</v>
      </c>
      <c r="H15" s="15" t="s">
        <v>40</v>
      </c>
      <c r="I15" s="15" t="s">
        <v>244</v>
      </c>
      <c r="J15" s="16"/>
      <c r="K15" s="14" t="str">
        <f>"177,5"</f>
        <v>177,5</v>
      </c>
      <c r="L15" s="15" t="str">
        <f>"99,1515"</f>
        <v>99,1515</v>
      </c>
      <c r="M15" s="14" t="s">
        <v>35</v>
      </c>
    </row>
    <row r="17" spans="1:12" ht="15">
      <c r="A17" s="49" t="s">
        <v>85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3" ht="12.75">
      <c r="A18" s="8" t="s">
        <v>288</v>
      </c>
      <c r="B18" s="8" t="s">
        <v>289</v>
      </c>
      <c r="C18" s="8" t="s">
        <v>290</v>
      </c>
      <c r="D18" s="8" t="str">
        <f>"0,5429"</f>
        <v>0,5429</v>
      </c>
      <c r="E18" s="8" t="s">
        <v>26</v>
      </c>
      <c r="F18" s="8" t="s">
        <v>139</v>
      </c>
      <c r="G18" s="9" t="s">
        <v>291</v>
      </c>
      <c r="H18" s="9" t="s">
        <v>292</v>
      </c>
      <c r="I18" s="9" t="s">
        <v>92</v>
      </c>
      <c r="J18" s="10"/>
      <c r="K18" s="8" t="str">
        <f>"240,0"</f>
        <v>240,0</v>
      </c>
      <c r="L18" s="9" t="str">
        <f>"130,2960"</f>
        <v>130,2960</v>
      </c>
      <c r="M18" s="8" t="s">
        <v>35</v>
      </c>
    </row>
    <row r="19" spans="1:13" ht="12.75">
      <c r="A19" s="11" t="s">
        <v>293</v>
      </c>
      <c r="B19" s="11" t="s">
        <v>294</v>
      </c>
      <c r="C19" s="11" t="s">
        <v>295</v>
      </c>
      <c r="D19" s="11" t="str">
        <f>"0,5463"</f>
        <v>0,5463</v>
      </c>
      <c r="E19" s="11" t="s">
        <v>26</v>
      </c>
      <c r="F19" s="11" t="s">
        <v>139</v>
      </c>
      <c r="G19" s="12" t="s">
        <v>47</v>
      </c>
      <c r="H19" s="13" t="s">
        <v>40</v>
      </c>
      <c r="I19" s="12" t="s">
        <v>40</v>
      </c>
      <c r="J19" s="13"/>
      <c r="K19" s="11" t="str">
        <f>"160,0"</f>
        <v>160,0</v>
      </c>
      <c r="L19" s="12" t="str">
        <f>"87,4080"</f>
        <v>87,4080</v>
      </c>
      <c r="M19" s="11" t="s">
        <v>35</v>
      </c>
    </row>
    <row r="21" spans="1:12" ht="15">
      <c r="A21" s="49" t="s">
        <v>114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3" ht="12.75">
      <c r="A22" s="14" t="s">
        <v>296</v>
      </c>
      <c r="B22" s="14" t="s">
        <v>297</v>
      </c>
      <c r="C22" s="14" t="s">
        <v>298</v>
      </c>
      <c r="D22" s="14" t="str">
        <f>"0,5308"</f>
        <v>0,5308</v>
      </c>
      <c r="E22" s="14" t="s">
        <v>26</v>
      </c>
      <c r="F22" s="14" t="s">
        <v>139</v>
      </c>
      <c r="G22" s="15" t="s">
        <v>238</v>
      </c>
      <c r="H22" s="15" t="s">
        <v>90</v>
      </c>
      <c r="I22" s="16" t="s">
        <v>278</v>
      </c>
      <c r="J22" s="16"/>
      <c r="K22" s="14" t="str">
        <f>"220,0"</f>
        <v>220,0</v>
      </c>
      <c r="L22" s="15" t="str">
        <f>"130,4388"</f>
        <v>130,4388</v>
      </c>
      <c r="M22" s="14" t="s">
        <v>35</v>
      </c>
    </row>
    <row r="24" spans="5:6" ht="15">
      <c r="E24" s="6" t="s">
        <v>11</v>
      </c>
      <c r="F24" s="4" t="s">
        <v>368</v>
      </c>
    </row>
    <row r="25" spans="5:6" ht="15">
      <c r="E25" s="6" t="s">
        <v>12</v>
      </c>
      <c r="F25" s="4" t="s">
        <v>369</v>
      </c>
    </row>
    <row r="26" spans="5:6" ht="15">
      <c r="E26" s="6" t="s">
        <v>13</v>
      </c>
      <c r="F26" s="4" t="s">
        <v>370</v>
      </c>
    </row>
    <row r="27" spans="5:6" ht="15">
      <c r="E27" s="6" t="s">
        <v>14</v>
      </c>
      <c r="F27" s="4" t="s">
        <v>371</v>
      </c>
    </row>
    <row r="28" spans="5:6" ht="15">
      <c r="E28" s="6" t="s">
        <v>14</v>
      </c>
      <c r="F28" s="4" t="s">
        <v>372</v>
      </c>
    </row>
    <row r="29" spans="5:6" ht="15">
      <c r="E29" s="6" t="s">
        <v>15</v>
      </c>
      <c r="F29" s="4" t="s">
        <v>369</v>
      </c>
    </row>
    <row r="30" ht="15">
      <c r="E30" s="6"/>
    </row>
    <row r="32" spans="1:2" ht="18">
      <c r="A32" s="7"/>
      <c r="B32" s="7"/>
    </row>
    <row r="33" spans="1:2" ht="15">
      <c r="A33" s="17"/>
      <c r="B33" s="17"/>
    </row>
    <row r="34" spans="1:2" ht="14.25">
      <c r="A34" s="19"/>
      <c r="B34" s="20"/>
    </row>
    <row r="35" spans="1:5" ht="15">
      <c r="A35" s="21"/>
      <c r="B35" s="21"/>
      <c r="C35" s="21"/>
      <c r="D35" s="21"/>
      <c r="E35" s="21"/>
    </row>
    <row r="36" spans="1:5" ht="12.75">
      <c r="A36" s="18"/>
      <c r="E36" s="22"/>
    </row>
    <row r="39" spans="1:2" ht="15">
      <c r="A39" s="17"/>
      <c r="B39" s="17"/>
    </row>
    <row r="40" spans="1:2" ht="14.25">
      <c r="A40" s="19"/>
      <c r="B40" s="20"/>
    </row>
    <row r="41" spans="1:5" ht="15">
      <c r="A41" s="21"/>
      <c r="B41" s="21"/>
      <c r="C41" s="21"/>
      <c r="D41" s="21"/>
      <c r="E41" s="21"/>
    </row>
    <row r="42" spans="1:5" ht="12.75">
      <c r="A42" s="18"/>
      <c r="E42" s="22"/>
    </row>
    <row r="43" spans="1:5" ht="12.75">
      <c r="A43" s="18"/>
      <c r="E43" s="22"/>
    </row>
    <row r="44" spans="1:5" ht="12.75">
      <c r="A44" s="18"/>
      <c r="E44" s="22"/>
    </row>
    <row r="46" spans="1:2" ht="14.25">
      <c r="A46" s="19"/>
      <c r="B46" s="20"/>
    </row>
    <row r="47" spans="1:5" ht="15">
      <c r="A47" s="21"/>
      <c r="B47" s="21"/>
      <c r="C47" s="21"/>
      <c r="D47" s="21"/>
      <c r="E47" s="21"/>
    </row>
    <row r="48" spans="1:5" ht="12.75">
      <c r="A48" s="18"/>
      <c r="E48" s="22"/>
    </row>
    <row r="49" spans="1:5" ht="12.75">
      <c r="A49" s="18"/>
      <c r="E49" s="22"/>
    </row>
    <row r="50" spans="1:5" ht="12.75">
      <c r="A50" s="18"/>
      <c r="E50" s="22"/>
    </row>
  </sheetData>
  <sheetProtection/>
  <mergeCells count="17">
    <mergeCell ref="A14:L14"/>
    <mergeCell ref="A17:L17"/>
    <mergeCell ref="A21:L21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9">
      <selection activeCell="F26" sqref="F2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375" style="4" bestFit="1" customWidth="1"/>
    <col min="14" max="16384" width="9.125" style="3" customWidth="1"/>
  </cols>
  <sheetData>
    <row r="1" spans="1:13" s="2" customFormat="1" ht="28.5" customHeight="1">
      <c r="A1" s="36" t="s">
        <v>256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8</v>
      </c>
      <c r="C3" s="44" t="s">
        <v>9</v>
      </c>
      <c r="D3" s="46" t="s">
        <v>18</v>
      </c>
      <c r="E3" s="46" t="s">
        <v>6</v>
      </c>
      <c r="F3" s="46" t="s">
        <v>10</v>
      </c>
      <c r="G3" s="46" t="s">
        <v>20</v>
      </c>
      <c r="H3" s="46"/>
      <c r="I3" s="46"/>
      <c r="J3" s="46"/>
      <c r="K3" s="46" t="s">
        <v>121</v>
      </c>
      <c r="L3" s="46" t="s">
        <v>5</v>
      </c>
      <c r="M3" s="47" t="s">
        <v>4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8"/>
    </row>
    <row r="5" spans="1:12" ht="15">
      <c r="A5" s="34" t="s">
        <v>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ht="12.75">
      <c r="A6" s="14" t="s">
        <v>257</v>
      </c>
      <c r="B6" s="14" t="s">
        <v>258</v>
      </c>
      <c r="C6" s="14" t="s">
        <v>259</v>
      </c>
      <c r="D6" s="14" t="str">
        <f>"0,6198"</f>
        <v>0,6198</v>
      </c>
      <c r="E6" s="14" t="s">
        <v>26</v>
      </c>
      <c r="F6" s="14" t="s">
        <v>200</v>
      </c>
      <c r="G6" s="15" t="s">
        <v>33</v>
      </c>
      <c r="H6" s="15" t="s">
        <v>260</v>
      </c>
      <c r="I6" s="16" t="s">
        <v>46</v>
      </c>
      <c r="J6" s="16"/>
      <c r="K6" s="14" t="str">
        <f>"132,5"</f>
        <v>132,5</v>
      </c>
      <c r="L6" s="15" t="str">
        <f>"82,1235"</f>
        <v>82,1235</v>
      </c>
      <c r="M6" s="14" t="s">
        <v>181</v>
      </c>
    </row>
    <row r="8" spans="1:12" ht="15">
      <c r="A8" s="49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4" t="s">
        <v>110</v>
      </c>
      <c r="B9" s="14" t="s">
        <v>111</v>
      </c>
      <c r="C9" s="14" t="s">
        <v>112</v>
      </c>
      <c r="D9" s="14" t="str">
        <f>"0,5885"</f>
        <v>0,5885</v>
      </c>
      <c r="E9" s="14" t="s">
        <v>26</v>
      </c>
      <c r="F9" s="14" t="s">
        <v>113</v>
      </c>
      <c r="G9" s="15" t="s">
        <v>32</v>
      </c>
      <c r="H9" s="15" t="s">
        <v>33</v>
      </c>
      <c r="I9" s="16"/>
      <c r="J9" s="16"/>
      <c r="K9" s="14" t="str">
        <f>"120,0"</f>
        <v>120,0</v>
      </c>
      <c r="L9" s="15" t="str">
        <f>"135,5904"</f>
        <v>135,5904</v>
      </c>
      <c r="M9" s="14" t="s">
        <v>35</v>
      </c>
    </row>
    <row r="11" spans="1:12" ht="15">
      <c r="A11" s="49" t="s">
        <v>78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14" t="s">
        <v>261</v>
      </c>
      <c r="B12" s="14" t="s">
        <v>262</v>
      </c>
      <c r="C12" s="14" t="s">
        <v>263</v>
      </c>
      <c r="D12" s="14" t="str">
        <f>"0,5558"</f>
        <v>0,5558</v>
      </c>
      <c r="E12" s="14" t="s">
        <v>26</v>
      </c>
      <c r="F12" s="14" t="s">
        <v>64</v>
      </c>
      <c r="G12" s="15" t="s">
        <v>33</v>
      </c>
      <c r="H12" s="15" t="s">
        <v>65</v>
      </c>
      <c r="I12" s="15" t="s">
        <v>68</v>
      </c>
      <c r="J12" s="16"/>
      <c r="K12" s="14" t="str">
        <f>"135,0"</f>
        <v>135,0</v>
      </c>
      <c r="L12" s="15" t="str">
        <f>"75,0330"</f>
        <v>75,0330</v>
      </c>
      <c r="M12" s="14" t="s">
        <v>181</v>
      </c>
    </row>
    <row r="14" spans="1:12" ht="15">
      <c r="A14" s="49" t="s">
        <v>114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3" ht="12.75">
      <c r="A15" s="8" t="s">
        <v>264</v>
      </c>
      <c r="B15" s="8" t="s">
        <v>265</v>
      </c>
      <c r="C15" s="8" t="s">
        <v>266</v>
      </c>
      <c r="D15" s="8" t="str">
        <f>"0,5279"</f>
        <v>0,5279</v>
      </c>
      <c r="E15" s="8" t="s">
        <v>26</v>
      </c>
      <c r="F15" s="8" t="s">
        <v>64</v>
      </c>
      <c r="G15" s="9" t="s">
        <v>50</v>
      </c>
      <c r="H15" s="9" t="s">
        <v>267</v>
      </c>
      <c r="I15" s="9" t="s">
        <v>30</v>
      </c>
      <c r="J15" s="10"/>
      <c r="K15" s="8" t="str">
        <f>"200,0"</f>
        <v>200,0</v>
      </c>
      <c r="L15" s="9" t="str">
        <f>"105,5800"</f>
        <v>105,5800</v>
      </c>
      <c r="M15" s="8" t="s">
        <v>181</v>
      </c>
    </row>
    <row r="16" spans="1:13" ht="12.75">
      <c r="A16" s="23" t="s">
        <v>268</v>
      </c>
      <c r="B16" s="23" t="s">
        <v>269</v>
      </c>
      <c r="C16" s="23" t="s">
        <v>270</v>
      </c>
      <c r="D16" s="23" t="str">
        <f>"0,5288"</f>
        <v>0,5288</v>
      </c>
      <c r="E16" s="23" t="s">
        <v>26</v>
      </c>
      <c r="F16" s="23" t="s">
        <v>64</v>
      </c>
      <c r="G16" s="25" t="s">
        <v>47</v>
      </c>
      <c r="H16" s="25" t="s">
        <v>211</v>
      </c>
      <c r="I16" s="25" t="s">
        <v>50</v>
      </c>
      <c r="J16" s="24"/>
      <c r="K16" s="23" t="str">
        <f>"170,0"</f>
        <v>170,0</v>
      </c>
      <c r="L16" s="25" t="str">
        <f>"89,8960"</f>
        <v>89,8960</v>
      </c>
      <c r="M16" s="23" t="s">
        <v>181</v>
      </c>
    </row>
    <row r="17" spans="1:13" ht="12.75">
      <c r="A17" s="23" t="s">
        <v>271</v>
      </c>
      <c r="B17" s="23" t="s">
        <v>272</v>
      </c>
      <c r="C17" s="23" t="s">
        <v>270</v>
      </c>
      <c r="D17" s="23" t="str">
        <f>"0,5288"</f>
        <v>0,5288</v>
      </c>
      <c r="E17" s="23" t="s">
        <v>26</v>
      </c>
      <c r="F17" s="23" t="s">
        <v>273</v>
      </c>
      <c r="G17" s="25" t="s">
        <v>93</v>
      </c>
      <c r="H17" s="25" t="s">
        <v>274</v>
      </c>
      <c r="I17" s="25" t="s">
        <v>40</v>
      </c>
      <c r="J17" s="24"/>
      <c r="K17" s="23" t="str">
        <f>"160,0"</f>
        <v>160,0</v>
      </c>
      <c r="L17" s="25" t="str">
        <f>"84,6080"</f>
        <v>84,6080</v>
      </c>
      <c r="M17" s="23" t="s">
        <v>181</v>
      </c>
    </row>
    <row r="18" spans="1:13" ht="12.75">
      <c r="A18" s="11" t="s">
        <v>275</v>
      </c>
      <c r="B18" s="11" t="s">
        <v>276</v>
      </c>
      <c r="C18" s="11" t="s">
        <v>277</v>
      </c>
      <c r="D18" s="11" t="str">
        <f>"0,5270"</f>
        <v>0,5270</v>
      </c>
      <c r="E18" s="11" t="s">
        <v>26</v>
      </c>
      <c r="F18" s="11" t="s">
        <v>64</v>
      </c>
      <c r="G18" s="12" t="s">
        <v>278</v>
      </c>
      <c r="H18" s="12" t="s">
        <v>92</v>
      </c>
      <c r="I18" s="12" t="s">
        <v>95</v>
      </c>
      <c r="J18" s="13"/>
      <c r="K18" s="11" t="str">
        <f>"250,0"</f>
        <v>250,0</v>
      </c>
      <c r="L18" s="12" t="str">
        <f>"132,1453"</f>
        <v>132,1453</v>
      </c>
      <c r="M18" s="11" t="s">
        <v>35</v>
      </c>
    </row>
    <row r="20" spans="5:6" ht="15">
      <c r="E20" s="6" t="s">
        <v>11</v>
      </c>
      <c r="F20" s="4" t="s">
        <v>368</v>
      </c>
    </row>
    <row r="21" spans="5:6" ht="15">
      <c r="E21" s="6" t="s">
        <v>12</v>
      </c>
      <c r="F21" s="4" t="s">
        <v>369</v>
      </c>
    </row>
    <row r="22" spans="5:6" ht="15">
      <c r="E22" s="6" t="s">
        <v>13</v>
      </c>
      <c r="F22" s="4" t="s">
        <v>370</v>
      </c>
    </row>
    <row r="23" spans="5:6" ht="15">
      <c r="E23" s="6" t="s">
        <v>14</v>
      </c>
      <c r="F23" s="4" t="s">
        <v>371</v>
      </c>
    </row>
    <row r="24" spans="5:6" ht="15">
      <c r="E24" s="6" t="s">
        <v>14</v>
      </c>
      <c r="F24" s="4" t="s">
        <v>372</v>
      </c>
    </row>
    <row r="25" spans="5:6" ht="15">
      <c r="E25" s="6" t="s">
        <v>15</v>
      </c>
      <c r="F25" s="4" t="s">
        <v>369</v>
      </c>
    </row>
    <row r="26" ht="15">
      <c r="E26" s="6"/>
    </row>
    <row r="28" spans="1:2" ht="18">
      <c r="A28" s="7"/>
      <c r="B28" s="7"/>
    </row>
    <row r="29" spans="1:2" ht="15">
      <c r="A29" s="17"/>
      <c r="B29" s="17"/>
    </row>
    <row r="30" spans="1:2" ht="14.25">
      <c r="A30" s="19"/>
      <c r="B30" s="20"/>
    </row>
    <row r="31" spans="1:5" ht="15">
      <c r="A31" s="21"/>
      <c r="B31" s="21"/>
      <c r="C31" s="21"/>
      <c r="D31" s="21"/>
      <c r="E31" s="21"/>
    </row>
    <row r="32" spans="1:5" ht="12.75">
      <c r="A32" s="18"/>
      <c r="E32" s="22"/>
    </row>
    <row r="34" spans="1:2" ht="14.25">
      <c r="A34" s="19"/>
      <c r="B34" s="20"/>
    </row>
    <row r="35" spans="1:5" ht="15">
      <c r="A35" s="21"/>
      <c r="B35" s="21"/>
      <c r="C35" s="21"/>
      <c r="D35" s="21"/>
      <c r="E35" s="21"/>
    </row>
    <row r="36" spans="1:5" ht="12.75">
      <c r="A36" s="18"/>
      <c r="E36" s="22"/>
    </row>
    <row r="37" spans="1:5" ht="12.75">
      <c r="A37" s="18"/>
      <c r="E37" s="22"/>
    </row>
    <row r="38" spans="1:5" ht="12.75">
      <c r="A38" s="18"/>
      <c r="E38" s="22"/>
    </row>
    <row r="39" spans="1:5" ht="12.75">
      <c r="A39" s="18"/>
      <c r="E39" s="22"/>
    </row>
    <row r="41" spans="1:2" ht="14.25">
      <c r="A41" s="19"/>
      <c r="B41" s="20"/>
    </row>
    <row r="42" spans="1:5" ht="15">
      <c r="A42" s="21"/>
      <c r="B42" s="21"/>
      <c r="C42" s="21"/>
      <c r="D42" s="21"/>
      <c r="E42" s="21"/>
    </row>
    <row r="43" spans="1:5" ht="12.75">
      <c r="A43" s="18"/>
      <c r="E43" s="22"/>
    </row>
    <row r="44" spans="1:5" ht="12.75">
      <c r="A44" s="18"/>
      <c r="E44" s="22"/>
    </row>
  </sheetData>
  <sheetProtection/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1">
      <selection activeCell="F58" sqref="F58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7.00390625" style="4" bestFit="1" customWidth="1"/>
    <col min="14" max="16384" width="9.125" style="3" customWidth="1"/>
  </cols>
  <sheetData>
    <row r="1" spans="1:13" s="2" customFormat="1" ht="28.5" customHeight="1">
      <c r="A1" s="36" t="s">
        <v>123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8</v>
      </c>
      <c r="C3" s="44" t="s">
        <v>9</v>
      </c>
      <c r="D3" s="46" t="s">
        <v>18</v>
      </c>
      <c r="E3" s="46" t="s">
        <v>6</v>
      </c>
      <c r="F3" s="46" t="s">
        <v>10</v>
      </c>
      <c r="G3" s="46" t="s">
        <v>20</v>
      </c>
      <c r="H3" s="46"/>
      <c r="I3" s="46"/>
      <c r="J3" s="46"/>
      <c r="K3" s="46" t="s">
        <v>121</v>
      </c>
      <c r="L3" s="46" t="s">
        <v>5</v>
      </c>
      <c r="M3" s="47" t="s">
        <v>4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8"/>
    </row>
    <row r="5" spans="1:12" ht="15">
      <c r="A5" s="34" t="s">
        <v>124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ht="12.75">
      <c r="A6" s="8" t="s">
        <v>125</v>
      </c>
      <c r="B6" s="8" t="s">
        <v>126</v>
      </c>
      <c r="C6" s="8" t="s">
        <v>127</v>
      </c>
      <c r="D6" s="8" t="str">
        <f>"0,9284"</f>
        <v>0,9284</v>
      </c>
      <c r="E6" s="8" t="s">
        <v>26</v>
      </c>
      <c r="F6" s="8" t="s">
        <v>27</v>
      </c>
      <c r="G6" s="9" t="s">
        <v>128</v>
      </c>
      <c r="H6" s="9" t="s">
        <v>129</v>
      </c>
      <c r="I6" s="10" t="s">
        <v>130</v>
      </c>
      <c r="J6" s="10"/>
      <c r="K6" s="8" t="str">
        <f>"65,0"</f>
        <v>65,0</v>
      </c>
      <c r="L6" s="9" t="str">
        <f>"60,3460"</f>
        <v>60,3460</v>
      </c>
      <c r="M6" s="8" t="s">
        <v>35</v>
      </c>
    </row>
    <row r="7" spans="1:13" ht="12.75">
      <c r="A7" s="11" t="s">
        <v>131</v>
      </c>
      <c r="B7" s="11" t="s">
        <v>132</v>
      </c>
      <c r="C7" s="11" t="s">
        <v>133</v>
      </c>
      <c r="D7" s="11" t="str">
        <f>"0,9147"</f>
        <v>0,9147</v>
      </c>
      <c r="E7" s="11" t="s">
        <v>26</v>
      </c>
      <c r="F7" s="11" t="s">
        <v>27</v>
      </c>
      <c r="G7" s="12" t="s">
        <v>128</v>
      </c>
      <c r="H7" s="13" t="s">
        <v>129</v>
      </c>
      <c r="I7" s="13" t="s">
        <v>129</v>
      </c>
      <c r="J7" s="13"/>
      <c r="K7" s="11" t="str">
        <f>"62,5"</f>
        <v>62,5</v>
      </c>
      <c r="L7" s="12" t="str">
        <f>"57,3371"</f>
        <v>57,3371</v>
      </c>
      <c r="M7" s="11" t="s">
        <v>134</v>
      </c>
    </row>
    <row r="9" spans="1:12" ht="15">
      <c r="A9" s="49" t="s">
        <v>135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3" ht="12.75">
      <c r="A10" s="14" t="s">
        <v>136</v>
      </c>
      <c r="B10" s="14" t="s">
        <v>137</v>
      </c>
      <c r="C10" s="14" t="s">
        <v>138</v>
      </c>
      <c r="D10" s="14" t="str">
        <f>"0,8882"</f>
        <v>0,8882</v>
      </c>
      <c r="E10" s="14" t="s">
        <v>26</v>
      </c>
      <c r="F10" s="14" t="s">
        <v>139</v>
      </c>
      <c r="G10" s="15" t="s">
        <v>140</v>
      </c>
      <c r="H10" s="16" t="s">
        <v>141</v>
      </c>
      <c r="I10" s="16" t="s">
        <v>141</v>
      </c>
      <c r="J10" s="16"/>
      <c r="K10" s="14" t="str">
        <f>"37,5"</f>
        <v>37,5</v>
      </c>
      <c r="L10" s="15" t="str">
        <f>"33,3094"</f>
        <v>33,3094</v>
      </c>
      <c r="M10" s="14" t="s">
        <v>35</v>
      </c>
    </row>
    <row r="12" spans="1:12" ht="15">
      <c r="A12" s="49" t="s">
        <v>142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3" ht="12.75">
      <c r="A13" s="8" t="s">
        <v>143</v>
      </c>
      <c r="B13" s="8" t="s">
        <v>144</v>
      </c>
      <c r="C13" s="8" t="s">
        <v>145</v>
      </c>
      <c r="D13" s="8" t="str">
        <f>"1,1791"</f>
        <v>1,1791</v>
      </c>
      <c r="E13" s="8" t="s">
        <v>26</v>
      </c>
      <c r="F13" s="8" t="s">
        <v>64</v>
      </c>
      <c r="G13" s="9" t="s">
        <v>146</v>
      </c>
      <c r="H13" s="9" t="s">
        <v>147</v>
      </c>
      <c r="I13" s="9" t="s">
        <v>148</v>
      </c>
      <c r="J13" s="10"/>
      <c r="K13" s="8" t="str">
        <f>"32,5"</f>
        <v>32,5</v>
      </c>
      <c r="L13" s="9" t="str">
        <f>"47,1345"</f>
        <v>47,1345</v>
      </c>
      <c r="M13" s="8" t="s">
        <v>35</v>
      </c>
    </row>
    <row r="14" spans="1:13" ht="12.75">
      <c r="A14" s="11" t="s">
        <v>149</v>
      </c>
      <c r="B14" s="11" t="s">
        <v>150</v>
      </c>
      <c r="C14" s="11" t="s">
        <v>151</v>
      </c>
      <c r="D14" s="11" t="str">
        <f>"0,9734"</f>
        <v>0,9734</v>
      </c>
      <c r="E14" s="11" t="s">
        <v>26</v>
      </c>
      <c r="F14" s="11" t="s">
        <v>139</v>
      </c>
      <c r="G14" s="12" t="s">
        <v>152</v>
      </c>
      <c r="H14" s="13" t="s">
        <v>153</v>
      </c>
      <c r="I14" s="12" t="s">
        <v>154</v>
      </c>
      <c r="J14" s="13"/>
      <c r="K14" s="11" t="str">
        <f>"57,5"</f>
        <v>57,5</v>
      </c>
      <c r="L14" s="12" t="str">
        <f>"68,8437"</f>
        <v>68,8437</v>
      </c>
      <c r="M14" s="11" t="s">
        <v>155</v>
      </c>
    </row>
    <row r="16" spans="1:12" ht="15">
      <c r="A16" s="49" t="s">
        <v>156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3" ht="12.75">
      <c r="A17" s="14" t="s">
        <v>157</v>
      </c>
      <c r="B17" s="14" t="s">
        <v>158</v>
      </c>
      <c r="C17" s="14" t="s">
        <v>159</v>
      </c>
      <c r="D17" s="14" t="str">
        <f>"0,7514"</f>
        <v>0,7514</v>
      </c>
      <c r="E17" s="14" t="s">
        <v>26</v>
      </c>
      <c r="F17" s="14" t="s">
        <v>139</v>
      </c>
      <c r="G17" s="15" t="s">
        <v>160</v>
      </c>
      <c r="H17" s="15" t="s">
        <v>77</v>
      </c>
      <c r="I17" s="16" t="s">
        <v>161</v>
      </c>
      <c r="J17" s="16"/>
      <c r="K17" s="14" t="str">
        <f>"85,0"</f>
        <v>85,0</v>
      </c>
      <c r="L17" s="15" t="str">
        <f>"81,8162"</f>
        <v>81,8162</v>
      </c>
      <c r="M17" s="14" t="s">
        <v>35</v>
      </c>
    </row>
    <row r="19" spans="1:12" ht="15">
      <c r="A19" s="49" t="s">
        <v>22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3" ht="12.75">
      <c r="A20" s="8" t="s">
        <v>162</v>
      </c>
      <c r="B20" s="8" t="s">
        <v>163</v>
      </c>
      <c r="C20" s="8" t="s">
        <v>164</v>
      </c>
      <c r="D20" s="8" t="str">
        <f>"0,6388"</f>
        <v>0,6388</v>
      </c>
      <c r="E20" s="8" t="s">
        <v>26</v>
      </c>
      <c r="F20" s="8" t="s">
        <v>64</v>
      </c>
      <c r="G20" s="10" t="s">
        <v>165</v>
      </c>
      <c r="H20" s="10" t="s">
        <v>165</v>
      </c>
      <c r="I20" s="9" t="s">
        <v>165</v>
      </c>
      <c r="J20" s="10"/>
      <c r="K20" s="8" t="str">
        <f>"42,5"</f>
        <v>42,5</v>
      </c>
      <c r="L20" s="9" t="str">
        <f>"33,3933"</f>
        <v>33,3933</v>
      </c>
      <c r="M20" s="8" t="s">
        <v>35</v>
      </c>
    </row>
    <row r="21" spans="1:13" ht="12.75">
      <c r="A21" s="23" t="s">
        <v>166</v>
      </c>
      <c r="B21" s="23" t="s">
        <v>167</v>
      </c>
      <c r="C21" s="23" t="s">
        <v>168</v>
      </c>
      <c r="D21" s="23" t="str">
        <f>"0,6273"</f>
        <v>0,6273</v>
      </c>
      <c r="E21" s="23" t="s">
        <v>26</v>
      </c>
      <c r="F21" s="23" t="s">
        <v>101</v>
      </c>
      <c r="G21" s="25" t="s">
        <v>141</v>
      </c>
      <c r="H21" s="25" t="s">
        <v>169</v>
      </c>
      <c r="I21" s="24" t="s">
        <v>152</v>
      </c>
      <c r="J21" s="24"/>
      <c r="K21" s="23" t="str">
        <f>"45,0"</f>
        <v>45,0</v>
      </c>
      <c r="L21" s="25" t="str">
        <f>"34,7211"</f>
        <v>34,7211</v>
      </c>
      <c r="M21" s="23" t="s">
        <v>35</v>
      </c>
    </row>
    <row r="22" spans="1:13" ht="12.75">
      <c r="A22" s="23" t="s">
        <v>170</v>
      </c>
      <c r="B22" s="23" t="s">
        <v>171</v>
      </c>
      <c r="C22" s="23" t="s">
        <v>172</v>
      </c>
      <c r="D22" s="23" t="str">
        <f>"0,6219"</f>
        <v>0,6219</v>
      </c>
      <c r="E22" s="23" t="s">
        <v>26</v>
      </c>
      <c r="F22" s="23" t="s">
        <v>27</v>
      </c>
      <c r="G22" s="25" t="s">
        <v>173</v>
      </c>
      <c r="H22" s="24" t="s">
        <v>39</v>
      </c>
      <c r="I22" s="25" t="s">
        <v>39</v>
      </c>
      <c r="J22" s="24"/>
      <c r="K22" s="23" t="str">
        <f>"127,5"</f>
        <v>127,5</v>
      </c>
      <c r="L22" s="25" t="str">
        <f>"85,6356"</f>
        <v>85,6356</v>
      </c>
      <c r="M22" s="23" t="s">
        <v>35</v>
      </c>
    </row>
    <row r="23" spans="1:13" ht="12.75">
      <c r="A23" s="23" t="s">
        <v>175</v>
      </c>
      <c r="B23" s="23" t="s">
        <v>176</v>
      </c>
      <c r="C23" s="23" t="s">
        <v>177</v>
      </c>
      <c r="D23" s="23" t="str">
        <f>"0,6367"</f>
        <v>0,6367</v>
      </c>
      <c r="E23" s="23" t="s">
        <v>26</v>
      </c>
      <c r="F23" s="23" t="s">
        <v>27</v>
      </c>
      <c r="G23" s="25" t="s">
        <v>33</v>
      </c>
      <c r="H23" s="24" t="s">
        <v>38</v>
      </c>
      <c r="I23" s="24" t="s">
        <v>65</v>
      </c>
      <c r="J23" s="24"/>
      <c r="K23" s="23" t="str">
        <f>"120,0"</f>
        <v>120,0</v>
      </c>
      <c r="L23" s="25" t="str">
        <f>"76,4040"</f>
        <v>76,4040</v>
      </c>
      <c r="M23" s="23" t="s">
        <v>35</v>
      </c>
    </row>
    <row r="24" spans="1:13" ht="12.75">
      <c r="A24" s="23" t="s">
        <v>179</v>
      </c>
      <c r="B24" s="23" t="s">
        <v>180</v>
      </c>
      <c r="C24" s="23" t="s">
        <v>168</v>
      </c>
      <c r="D24" s="23" t="str">
        <f>"0,6273"</f>
        <v>0,6273</v>
      </c>
      <c r="E24" s="23" t="s">
        <v>26</v>
      </c>
      <c r="F24" s="23" t="s">
        <v>64</v>
      </c>
      <c r="G24" s="25" t="s">
        <v>73</v>
      </c>
      <c r="H24" s="25" t="s">
        <v>33</v>
      </c>
      <c r="I24" s="24" t="s">
        <v>65</v>
      </c>
      <c r="J24" s="24"/>
      <c r="K24" s="23" t="str">
        <f>"120,0"</f>
        <v>120,0</v>
      </c>
      <c r="L24" s="25" t="str">
        <f>"75,2760"</f>
        <v>75,2760</v>
      </c>
      <c r="M24" s="23" t="s">
        <v>181</v>
      </c>
    </row>
    <row r="25" spans="1:13" ht="12.75">
      <c r="A25" s="11" t="s">
        <v>183</v>
      </c>
      <c r="B25" s="11" t="s">
        <v>184</v>
      </c>
      <c r="C25" s="11" t="s">
        <v>185</v>
      </c>
      <c r="D25" s="11" t="str">
        <f>"0,6329"</f>
        <v>0,6329</v>
      </c>
      <c r="E25" s="11" t="s">
        <v>26</v>
      </c>
      <c r="F25" s="11" t="s">
        <v>64</v>
      </c>
      <c r="G25" s="13" t="s">
        <v>72</v>
      </c>
      <c r="H25" s="12" t="s">
        <v>72</v>
      </c>
      <c r="I25" s="13" t="s">
        <v>186</v>
      </c>
      <c r="J25" s="13"/>
      <c r="K25" s="11" t="str">
        <f>"100,0"</f>
        <v>100,0</v>
      </c>
      <c r="L25" s="12" t="str">
        <f>"63,2900"</f>
        <v>63,2900</v>
      </c>
      <c r="M25" s="11" t="s">
        <v>35</v>
      </c>
    </row>
    <row r="27" spans="1:12" ht="15">
      <c r="A27" s="4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3" ht="12.75">
      <c r="A28" s="8" t="s">
        <v>188</v>
      </c>
      <c r="B28" s="8" t="s">
        <v>189</v>
      </c>
      <c r="C28" s="8" t="s">
        <v>190</v>
      </c>
      <c r="D28" s="8" t="str">
        <f>"0,5901"</f>
        <v>0,5901</v>
      </c>
      <c r="E28" s="8" t="s">
        <v>26</v>
      </c>
      <c r="F28" s="8" t="s">
        <v>139</v>
      </c>
      <c r="G28" s="9" t="s">
        <v>34</v>
      </c>
      <c r="H28" s="9" t="s">
        <v>191</v>
      </c>
      <c r="I28" s="9" t="s">
        <v>50</v>
      </c>
      <c r="J28" s="10"/>
      <c r="K28" s="8" t="str">
        <f>"170,0"</f>
        <v>170,0</v>
      </c>
      <c r="L28" s="9" t="str">
        <f>"100,3170"</f>
        <v>100,3170</v>
      </c>
      <c r="M28" s="8" t="s">
        <v>35</v>
      </c>
    </row>
    <row r="29" spans="1:13" ht="12.75">
      <c r="A29" s="23" t="s">
        <v>193</v>
      </c>
      <c r="B29" s="23" t="s">
        <v>194</v>
      </c>
      <c r="C29" s="23" t="s">
        <v>195</v>
      </c>
      <c r="D29" s="23" t="str">
        <f>"0,5893"</f>
        <v>0,5893</v>
      </c>
      <c r="E29" s="23" t="s">
        <v>26</v>
      </c>
      <c r="F29" s="23" t="s">
        <v>139</v>
      </c>
      <c r="G29" s="25" t="s">
        <v>65</v>
      </c>
      <c r="H29" s="25" t="s">
        <v>46</v>
      </c>
      <c r="I29" s="25" t="s">
        <v>94</v>
      </c>
      <c r="J29" s="24"/>
      <c r="K29" s="23" t="str">
        <f>"155,0"</f>
        <v>155,0</v>
      </c>
      <c r="L29" s="25" t="str">
        <f>"91,3415"</f>
        <v>91,3415</v>
      </c>
      <c r="M29" s="23" t="s">
        <v>35</v>
      </c>
    </row>
    <row r="30" spans="1:13" ht="12.75">
      <c r="A30" s="23" t="s">
        <v>197</v>
      </c>
      <c r="B30" s="23" t="s">
        <v>198</v>
      </c>
      <c r="C30" s="23" t="s">
        <v>199</v>
      </c>
      <c r="D30" s="23" t="str">
        <f>"0,5914"</f>
        <v>0,5914</v>
      </c>
      <c r="E30" s="23" t="s">
        <v>26</v>
      </c>
      <c r="F30" s="23" t="s">
        <v>200</v>
      </c>
      <c r="G30" s="25" t="s">
        <v>38</v>
      </c>
      <c r="H30" s="25" t="s">
        <v>65</v>
      </c>
      <c r="I30" s="25" t="s">
        <v>68</v>
      </c>
      <c r="J30" s="24"/>
      <c r="K30" s="23" t="str">
        <f>"135,0"</f>
        <v>135,0</v>
      </c>
      <c r="L30" s="25" t="str">
        <f>"79,8390"</f>
        <v>79,8390</v>
      </c>
      <c r="M30" s="23" t="s">
        <v>181</v>
      </c>
    </row>
    <row r="31" spans="1:13" ht="12.75">
      <c r="A31" s="23" t="s">
        <v>201</v>
      </c>
      <c r="B31" s="23" t="s">
        <v>202</v>
      </c>
      <c r="C31" s="23" t="s">
        <v>203</v>
      </c>
      <c r="D31" s="23" t="str">
        <f>"0,5865"</f>
        <v>0,5865</v>
      </c>
      <c r="E31" s="23" t="s">
        <v>26</v>
      </c>
      <c r="F31" s="23" t="s">
        <v>139</v>
      </c>
      <c r="G31" s="24" t="s">
        <v>40</v>
      </c>
      <c r="H31" s="24" t="s">
        <v>40</v>
      </c>
      <c r="I31" s="24" t="s">
        <v>191</v>
      </c>
      <c r="J31" s="24"/>
      <c r="K31" s="23" t="str">
        <f>"0.00"</f>
        <v>0.00</v>
      </c>
      <c r="L31" s="25" t="str">
        <f>"0,0000"</f>
        <v>0,0000</v>
      </c>
      <c r="M31" s="23" t="s">
        <v>35</v>
      </c>
    </row>
    <row r="32" spans="1:13" ht="12.75">
      <c r="A32" s="23" t="s">
        <v>204</v>
      </c>
      <c r="B32" s="23" t="s">
        <v>205</v>
      </c>
      <c r="C32" s="23" t="s">
        <v>195</v>
      </c>
      <c r="D32" s="23" t="str">
        <f>"0,5893"</f>
        <v>0,5893</v>
      </c>
      <c r="E32" s="23" t="s">
        <v>26</v>
      </c>
      <c r="F32" s="23" t="s">
        <v>27</v>
      </c>
      <c r="G32" s="25" t="s">
        <v>46</v>
      </c>
      <c r="H32" s="24" t="s">
        <v>206</v>
      </c>
      <c r="I32" s="25" t="s">
        <v>206</v>
      </c>
      <c r="J32" s="24"/>
      <c r="K32" s="23" t="str">
        <f>"142,5"</f>
        <v>142,5</v>
      </c>
      <c r="L32" s="25" t="str">
        <f>"98,5030"</f>
        <v>98,5030</v>
      </c>
      <c r="M32" s="23" t="s">
        <v>35</v>
      </c>
    </row>
    <row r="33" spans="1:13" ht="12.75">
      <c r="A33" s="11" t="s">
        <v>110</v>
      </c>
      <c r="B33" s="11" t="s">
        <v>111</v>
      </c>
      <c r="C33" s="11" t="s">
        <v>112</v>
      </c>
      <c r="D33" s="11" t="str">
        <f>"0,5885"</f>
        <v>0,5885</v>
      </c>
      <c r="E33" s="11" t="s">
        <v>26</v>
      </c>
      <c r="F33" s="11" t="s">
        <v>113</v>
      </c>
      <c r="G33" s="12" t="s">
        <v>32</v>
      </c>
      <c r="H33" s="12" t="s">
        <v>33</v>
      </c>
      <c r="I33" s="13" t="s">
        <v>38</v>
      </c>
      <c r="J33" s="13"/>
      <c r="K33" s="11" t="str">
        <f>"120,0"</f>
        <v>120,0</v>
      </c>
      <c r="L33" s="12" t="str">
        <f>"135,5904"</f>
        <v>135,5904</v>
      </c>
      <c r="M33" s="11" t="s">
        <v>35</v>
      </c>
    </row>
    <row r="35" spans="1:12" ht="15">
      <c r="A35" s="49" t="s">
        <v>78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3" ht="12.75">
      <c r="A36" s="8" t="s">
        <v>208</v>
      </c>
      <c r="B36" s="8" t="s">
        <v>209</v>
      </c>
      <c r="C36" s="8" t="s">
        <v>210</v>
      </c>
      <c r="D36" s="8" t="str">
        <f>"0,5565"</f>
        <v>0,5565</v>
      </c>
      <c r="E36" s="8" t="s">
        <v>26</v>
      </c>
      <c r="F36" s="8" t="s">
        <v>64</v>
      </c>
      <c r="G36" s="9" t="s">
        <v>47</v>
      </c>
      <c r="H36" s="10" t="s">
        <v>211</v>
      </c>
      <c r="I36" s="10" t="s">
        <v>211</v>
      </c>
      <c r="J36" s="10"/>
      <c r="K36" s="8" t="str">
        <f>"150,0"</f>
        <v>150,0</v>
      </c>
      <c r="L36" s="9" t="str">
        <f>"83,4750"</f>
        <v>83,4750</v>
      </c>
      <c r="M36" s="8" t="s">
        <v>84</v>
      </c>
    </row>
    <row r="37" spans="1:13" ht="12.75">
      <c r="A37" s="11" t="s">
        <v>213</v>
      </c>
      <c r="B37" s="11" t="s">
        <v>214</v>
      </c>
      <c r="C37" s="11" t="s">
        <v>215</v>
      </c>
      <c r="D37" s="11" t="str">
        <f>"0,5605"</f>
        <v>0,5605</v>
      </c>
      <c r="E37" s="11" t="s">
        <v>26</v>
      </c>
      <c r="F37" s="11" t="s">
        <v>64</v>
      </c>
      <c r="G37" s="13" t="s">
        <v>65</v>
      </c>
      <c r="H37" s="13" t="s">
        <v>65</v>
      </c>
      <c r="I37" s="12" t="s">
        <v>65</v>
      </c>
      <c r="J37" s="13"/>
      <c r="K37" s="11" t="str">
        <f>"130,0"</f>
        <v>130,0</v>
      </c>
      <c r="L37" s="12" t="str">
        <f>"72,8650"</f>
        <v>72,8650</v>
      </c>
      <c r="M37" s="11" t="s">
        <v>35</v>
      </c>
    </row>
    <row r="39" spans="1:12" ht="15">
      <c r="A39" s="49" t="s">
        <v>85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3" ht="12.75">
      <c r="A40" s="8" t="s">
        <v>216</v>
      </c>
      <c r="B40" s="8" t="s">
        <v>217</v>
      </c>
      <c r="C40" s="8" t="s">
        <v>218</v>
      </c>
      <c r="D40" s="8" t="str">
        <f>"0,5421"</f>
        <v>0,5421</v>
      </c>
      <c r="E40" s="8" t="s">
        <v>26</v>
      </c>
      <c r="F40" s="8" t="s">
        <v>64</v>
      </c>
      <c r="G40" s="9" t="s">
        <v>66</v>
      </c>
      <c r="H40" s="10" t="s">
        <v>67</v>
      </c>
      <c r="I40" s="9" t="s">
        <v>67</v>
      </c>
      <c r="J40" s="10"/>
      <c r="K40" s="8" t="str">
        <f>"80,0"</f>
        <v>80,0</v>
      </c>
      <c r="L40" s="9" t="str">
        <f>"53,3426"</f>
        <v>53,3426</v>
      </c>
      <c r="M40" s="8" t="s">
        <v>35</v>
      </c>
    </row>
    <row r="41" spans="1:13" ht="12.75">
      <c r="A41" s="23" t="s">
        <v>219</v>
      </c>
      <c r="B41" s="23" t="s">
        <v>220</v>
      </c>
      <c r="C41" s="23" t="s">
        <v>218</v>
      </c>
      <c r="D41" s="23" t="str">
        <f>"0,5421"</f>
        <v>0,5421</v>
      </c>
      <c r="E41" s="23" t="s">
        <v>26</v>
      </c>
      <c r="F41" s="23" t="s">
        <v>27</v>
      </c>
      <c r="G41" s="24" t="s">
        <v>31</v>
      </c>
      <c r="H41" s="25" t="s">
        <v>31</v>
      </c>
      <c r="I41" s="24" t="s">
        <v>221</v>
      </c>
      <c r="J41" s="24"/>
      <c r="K41" s="23" t="str">
        <f>"105,0"</f>
        <v>105,0</v>
      </c>
      <c r="L41" s="25" t="str">
        <f>"70,0122"</f>
        <v>70,0122</v>
      </c>
      <c r="M41" s="23" t="s">
        <v>35</v>
      </c>
    </row>
    <row r="42" spans="1:13" ht="12.75">
      <c r="A42" s="23" t="s">
        <v>223</v>
      </c>
      <c r="B42" s="23" t="s">
        <v>224</v>
      </c>
      <c r="C42" s="23" t="s">
        <v>225</v>
      </c>
      <c r="D42" s="23" t="str">
        <f>"0,5388"</f>
        <v>0,5388</v>
      </c>
      <c r="E42" s="23" t="s">
        <v>26</v>
      </c>
      <c r="F42" s="23" t="s">
        <v>226</v>
      </c>
      <c r="G42" s="25" t="s">
        <v>34</v>
      </c>
      <c r="H42" s="25" t="s">
        <v>50</v>
      </c>
      <c r="I42" s="25" t="s">
        <v>41</v>
      </c>
      <c r="J42" s="24"/>
      <c r="K42" s="23" t="str">
        <f>"175,0"</f>
        <v>175,0</v>
      </c>
      <c r="L42" s="25" t="str">
        <f>"94,2900"</f>
        <v>94,2900</v>
      </c>
      <c r="M42" s="23" t="s">
        <v>35</v>
      </c>
    </row>
    <row r="43" spans="1:13" ht="12.75">
      <c r="A43" s="11" t="s">
        <v>227</v>
      </c>
      <c r="B43" s="11" t="s">
        <v>228</v>
      </c>
      <c r="C43" s="11" t="s">
        <v>229</v>
      </c>
      <c r="D43" s="11" t="str">
        <f>"0,5446"</f>
        <v>0,5446</v>
      </c>
      <c r="E43" s="11" t="s">
        <v>26</v>
      </c>
      <c r="F43" s="11" t="s">
        <v>139</v>
      </c>
      <c r="G43" s="12" t="s">
        <v>46</v>
      </c>
      <c r="H43" s="13" t="s">
        <v>93</v>
      </c>
      <c r="I43" s="13" t="s">
        <v>47</v>
      </c>
      <c r="J43" s="13"/>
      <c r="K43" s="11" t="str">
        <f>"140,0"</f>
        <v>140,0</v>
      </c>
      <c r="L43" s="12" t="str">
        <f>"81,5048"</f>
        <v>81,5048</v>
      </c>
      <c r="M43" s="11" t="s">
        <v>35</v>
      </c>
    </row>
    <row r="45" spans="1:12" ht="15">
      <c r="A45" s="49" t="s">
        <v>114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3" ht="12.75">
      <c r="A46" s="8" t="s">
        <v>230</v>
      </c>
      <c r="B46" s="8" t="s">
        <v>231</v>
      </c>
      <c r="C46" s="8" t="s">
        <v>232</v>
      </c>
      <c r="D46" s="8" t="str">
        <f>"0,5305"</f>
        <v>0,5305</v>
      </c>
      <c r="E46" s="8" t="s">
        <v>26</v>
      </c>
      <c r="F46" s="8" t="s">
        <v>64</v>
      </c>
      <c r="G46" s="9" t="s">
        <v>160</v>
      </c>
      <c r="H46" s="10" t="s">
        <v>77</v>
      </c>
      <c r="I46" s="9" t="s">
        <v>77</v>
      </c>
      <c r="J46" s="10"/>
      <c r="K46" s="8" t="str">
        <f>"85,0"</f>
        <v>85,0</v>
      </c>
      <c r="L46" s="9" t="str">
        <f>"55,4638"</f>
        <v>55,4638</v>
      </c>
      <c r="M46" s="8" t="s">
        <v>35</v>
      </c>
    </row>
    <row r="47" spans="1:13" ht="12.75">
      <c r="A47" s="11" t="s">
        <v>234</v>
      </c>
      <c r="B47" s="11" t="s">
        <v>235</v>
      </c>
      <c r="C47" s="11" t="s">
        <v>236</v>
      </c>
      <c r="D47" s="11" t="str">
        <f>"0,5283"</f>
        <v>0,5283</v>
      </c>
      <c r="E47" s="11" t="s">
        <v>26</v>
      </c>
      <c r="F47" s="11" t="s">
        <v>89</v>
      </c>
      <c r="G47" s="12" t="s">
        <v>237</v>
      </c>
      <c r="H47" s="12" t="s">
        <v>238</v>
      </c>
      <c r="I47" s="12" t="s">
        <v>90</v>
      </c>
      <c r="J47" s="13"/>
      <c r="K47" s="11" t="str">
        <f>"220,0"</f>
        <v>220,0</v>
      </c>
      <c r="L47" s="12" t="str">
        <f>"116,2260"</f>
        <v>116,2260</v>
      </c>
      <c r="M47" s="11" t="s">
        <v>35</v>
      </c>
    </row>
    <row r="49" spans="1:12" ht="15">
      <c r="A49" s="49" t="s">
        <v>239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3" ht="12.75">
      <c r="A50" s="14" t="s">
        <v>240</v>
      </c>
      <c r="B50" s="14" t="s">
        <v>241</v>
      </c>
      <c r="C50" s="14" t="s">
        <v>242</v>
      </c>
      <c r="D50" s="14" t="str">
        <f>"0,5198"</f>
        <v>0,5198</v>
      </c>
      <c r="E50" s="14" t="s">
        <v>26</v>
      </c>
      <c r="F50" s="14" t="s">
        <v>139</v>
      </c>
      <c r="G50" s="15" t="s">
        <v>243</v>
      </c>
      <c r="H50" s="15" t="s">
        <v>244</v>
      </c>
      <c r="I50" s="15" t="s">
        <v>82</v>
      </c>
      <c r="J50" s="16"/>
      <c r="K50" s="14" t="str">
        <f>"180,0"</f>
        <v>180,0</v>
      </c>
      <c r="L50" s="15" t="str">
        <f>"129,1183"</f>
        <v>129,1183</v>
      </c>
      <c r="M50" s="14" t="s">
        <v>35</v>
      </c>
    </row>
    <row r="52" spans="5:6" ht="15">
      <c r="E52" s="6" t="s">
        <v>11</v>
      </c>
      <c r="F52" s="4" t="s">
        <v>368</v>
      </c>
    </row>
    <row r="53" spans="5:6" ht="15">
      <c r="E53" s="6" t="s">
        <v>12</v>
      </c>
      <c r="F53" s="4" t="s">
        <v>369</v>
      </c>
    </row>
    <row r="54" spans="5:6" ht="15">
      <c r="E54" s="6" t="s">
        <v>13</v>
      </c>
      <c r="F54" s="4" t="s">
        <v>370</v>
      </c>
    </row>
    <row r="55" spans="5:6" ht="15">
      <c r="E55" s="6" t="s">
        <v>14</v>
      </c>
      <c r="F55" s="4" t="s">
        <v>371</v>
      </c>
    </row>
    <row r="56" spans="5:6" ht="15">
      <c r="E56" s="6" t="s">
        <v>14</v>
      </c>
      <c r="F56" s="4" t="s">
        <v>372</v>
      </c>
    </row>
    <row r="57" spans="5:6" ht="15">
      <c r="E57" s="6" t="s">
        <v>15</v>
      </c>
      <c r="F57" s="4" t="s">
        <v>369</v>
      </c>
    </row>
    <row r="58" ht="15">
      <c r="E58" s="6"/>
    </row>
    <row r="60" spans="1:2" ht="18">
      <c r="A60" s="7" t="s">
        <v>16</v>
      </c>
      <c r="B60" s="7"/>
    </row>
    <row r="61" spans="1:2" ht="15">
      <c r="A61" s="17"/>
      <c r="B61" s="17"/>
    </row>
    <row r="62" spans="1:2" ht="14.25">
      <c r="A62" s="19"/>
      <c r="B62" s="20" t="s">
        <v>105</v>
      </c>
    </row>
    <row r="63" spans="1:5" ht="15">
      <c r="A63" s="21" t="s">
        <v>52</v>
      </c>
      <c r="B63" s="21" t="s">
        <v>53</v>
      </c>
      <c r="C63" s="21" t="s">
        <v>54</v>
      </c>
      <c r="D63" s="21" t="s">
        <v>55</v>
      </c>
      <c r="E63" s="21" t="s">
        <v>56</v>
      </c>
    </row>
    <row r="64" spans="1:5" ht="12.75">
      <c r="A64" s="18" t="s">
        <v>233</v>
      </c>
      <c r="B64" s="4" t="s">
        <v>105</v>
      </c>
      <c r="C64" s="4" t="s">
        <v>120</v>
      </c>
      <c r="D64" s="4" t="s">
        <v>90</v>
      </c>
      <c r="E64" s="22" t="s">
        <v>245</v>
      </c>
    </row>
    <row r="65" spans="1:5" ht="12.75">
      <c r="A65" s="18" t="s">
        <v>187</v>
      </c>
      <c r="B65" s="4" t="s">
        <v>105</v>
      </c>
      <c r="C65" s="4" t="s">
        <v>58</v>
      </c>
      <c r="D65" s="4" t="s">
        <v>50</v>
      </c>
      <c r="E65" s="22" t="s">
        <v>246</v>
      </c>
    </row>
    <row r="66" spans="1:5" ht="12.75">
      <c r="A66" s="18" t="s">
        <v>222</v>
      </c>
      <c r="B66" s="4" t="s">
        <v>105</v>
      </c>
      <c r="C66" s="4" t="s">
        <v>106</v>
      </c>
      <c r="D66" s="4" t="s">
        <v>41</v>
      </c>
      <c r="E66" s="22" t="s">
        <v>247</v>
      </c>
    </row>
    <row r="67" spans="1:5" ht="12.75">
      <c r="A67" s="18" t="s">
        <v>192</v>
      </c>
      <c r="B67" s="4" t="s">
        <v>105</v>
      </c>
      <c r="C67" s="4" t="s">
        <v>58</v>
      </c>
      <c r="D67" s="4" t="s">
        <v>94</v>
      </c>
      <c r="E67" s="22" t="s">
        <v>248</v>
      </c>
    </row>
    <row r="68" spans="1:5" ht="12.75">
      <c r="A68" s="18" t="s">
        <v>207</v>
      </c>
      <c r="B68" s="4" t="s">
        <v>105</v>
      </c>
      <c r="C68" s="4" t="s">
        <v>103</v>
      </c>
      <c r="D68" s="4" t="s">
        <v>47</v>
      </c>
      <c r="E68" s="22" t="s">
        <v>249</v>
      </c>
    </row>
    <row r="69" spans="1:5" ht="12.75">
      <c r="A69" s="18" t="s">
        <v>196</v>
      </c>
      <c r="B69" s="4" t="s">
        <v>105</v>
      </c>
      <c r="C69" s="4" t="s">
        <v>58</v>
      </c>
      <c r="D69" s="4" t="s">
        <v>68</v>
      </c>
      <c r="E69" s="22" t="s">
        <v>250</v>
      </c>
    </row>
    <row r="70" spans="1:5" ht="12.75">
      <c r="A70" s="18" t="s">
        <v>174</v>
      </c>
      <c r="B70" s="4" t="s">
        <v>105</v>
      </c>
      <c r="C70" s="4" t="s">
        <v>57</v>
      </c>
      <c r="D70" s="4" t="s">
        <v>33</v>
      </c>
      <c r="E70" s="22" t="s">
        <v>251</v>
      </c>
    </row>
    <row r="71" spans="1:5" ht="12.75">
      <c r="A71" s="18" t="s">
        <v>178</v>
      </c>
      <c r="B71" s="4" t="s">
        <v>105</v>
      </c>
      <c r="C71" s="4" t="s">
        <v>57</v>
      </c>
      <c r="D71" s="4" t="s">
        <v>33</v>
      </c>
      <c r="E71" s="22" t="s">
        <v>252</v>
      </c>
    </row>
    <row r="72" spans="1:5" ht="12.75">
      <c r="A72" s="18" t="s">
        <v>212</v>
      </c>
      <c r="B72" s="4" t="s">
        <v>105</v>
      </c>
      <c r="C72" s="4" t="s">
        <v>103</v>
      </c>
      <c r="D72" s="4" t="s">
        <v>65</v>
      </c>
      <c r="E72" s="22" t="s">
        <v>253</v>
      </c>
    </row>
    <row r="73" spans="1:5" ht="12.75">
      <c r="A73" s="18" t="s">
        <v>182</v>
      </c>
      <c r="B73" s="4" t="s">
        <v>105</v>
      </c>
      <c r="C73" s="4" t="s">
        <v>57</v>
      </c>
      <c r="D73" s="4" t="s">
        <v>72</v>
      </c>
      <c r="E73" s="22" t="s">
        <v>254</v>
      </c>
    </row>
    <row r="74" spans="1:5" ht="15">
      <c r="A74" s="21"/>
      <c r="B74" s="21"/>
      <c r="C74" s="21"/>
      <c r="D74" s="21"/>
      <c r="E74" s="21"/>
    </row>
    <row r="75" spans="1:5" ht="12.75">
      <c r="A75" s="18"/>
      <c r="E75" s="22"/>
    </row>
    <row r="76" spans="1:5" ht="12.75">
      <c r="A76" s="18"/>
      <c r="E76" s="22"/>
    </row>
    <row r="77" spans="1:5" ht="12.75">
      <c r="A77" s="18"/>
      <c r="E77" s="22"/>
    </row>
    <row r="78" spans="1:5" ht="12.75">
      <c r="A78" s="18"/>
      <c r="E78" s="22"/>
    </row>
    <row r="79" spans="1:5" ht="12.75">
      <c r="A79" s="18"/>
      <c r="E79" s="22"/>
    </row>
    <row r="80" spans="1:5" ht="12.75">
      <c r="A80" s="18"/>
      <c r="E80" s="22"/>
    </row>
    <row r="81" spans="1:5" ht="12.75">
      <c r="A81" s="18"/>
      <c r="E81" s="22"/>
    </row>
    <row r="82" spans="1:5" ht="12.75">
      <c r="A82" s="18"/>
      <c r="E82" s="22"/>
    </row>
    <row r="84" spans="1:2" ht="14.25">
      <c r="A84" s="19"/>
      <c r="B84" s="20"/>
    </row>
    <row r="85" spans="1:5" ht="15">
      <c r="A85" s="21"/>
      <c r="B85" s="21"/>
      <c r="C85" s="21"/>
      <c r="D85" s="21"/>
      <c r="E85" s="21"/>
    </row>
    <row r="86" spans="1:5" ht="12.75">
      <c r="A86" s="18"/>
      <c r="E86" s="22"/>
    </row>
    <row r="87" spans="1:5" ht="12.75">
      <c r="A87" s="18"/>
      <c r="E87" s="22"/>
    </row>
    <row r="88" spans="1:5" ht="12.75">
      <c r="A88" s="18"/>
      <c r="E88" s="22"/>
    </row>
    <row r="89" spans="1:5" ht="12.75">
      <c r="A89" s="18"/>
      <c r="E89" s="22"/>
    </row>
    <row r="90" spans="1:5" ht="12.75">
      <c r="A90" s="18"/>
      <c r="E90" s="22"/>
    </row>
    <row r="91" spans="1:5" ht="12.75">
      <c r="A91" s="18"/>
      <c r="E91" s="22"/>
    </row>
    <row r="92" spans="1:5" ht="12.75">
      <c r="A92" s="18"/>
      <c r="E92" s="22"/>
    </row>
    <row r="93" spans="1:5" ht="12.75">
      <c r="A93" s="18"/>
      <c r="E93" s="22"/>
    </row>
    <row r="94" spans="1:5" ht="12.75">
      <c r="A94" s="18"/>
      <c r="E94" s="22"/>
    </row>
    <row r="95" spans="1:5" ht="12.75">
      <c r="A95" s="18"/>
      <c r="E95" s="22"/>
    </row>
    <row r="97" spans="1:2" ht="14.25">
      <c r="A97" s="19"/>
      <c r="B97" s="20"/>
    </row>
    <row r="98" spans="1:5" ht="15">
      <c r="A98" s="21"/>
      <c r="B98" s="21"/>
      <c r="C98" s="21"/>
      <c r="D98" s="21"/>
      <c r="E98" s="21"/>
    </row>
    <row r="99" spans="1:5" ht="12.75">
      <c r="A99" s="18"/>
      <c r="E99" s="22"/>
    </row>
    <row r="100" spans="1:5" ht="12.75">
      <c r="A100" s="18"/>
      <c r="E100" s="22"/>
    </row>
    <row r="101" spans="1:5" ht="12.75">
      <c r="A101" s="18"/>
      <c r="E101" s="22"/>
    </row>
    <row r="102" spans="1:5" ht="12.75">
      <c r="A102" s="18"/>
      <c r="E102" s="22"/>
    </row>
    <row r="103" spans="1:5" ht="12.75">
      <c r="A103" s="18"/>
      <c r="E103" s="22"/>
    </row>
  </sheetData>
  <sheetProtection/>
  <mergeCells count="21">
    <mergeCell ref="A49:L49"/>
    <mergeCell ref="A16:L16"/>
    <mergeCell ref="A19:L19"/>
    <mergeCell ref="A27:L27"/>
    <mergeCell ref="A35:L35"/>
    <mergeCell ref="A39:L39"/>
    <mergeCell ref="A45:L45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4">
      <selection activeCell="F13" sqref="F13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6" t="s">
        <v>122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8</v>
      </c>
      <c r="C3" s="44" t="s">
        <v>9</v>
      </c>
      <c r="D3" s="46" t="s">
        <v>18</v>
      </c>
      <c r="E3" s="46" t="s">
        <v>6</v>
      </c>
      <c r="F3" s="46" t="s">
        <v>10</v>
      </c>
      <c r="G3" s="46" t="s">
        <v>20</v>
      </c>
      <c r="H3" s="46"/>
      <c r="I3" s="46"/>
      <c r="J3" s="46"/>
      <c r="K3" s="46" t="s">
        <v>121</v>
      </c>
      <c r="L3" s="46" t="s">
        <v>5</v>
      </c>
      <c r="M3" s="47" t="s">
        <v>4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8"/>
    </row>
    <row r="5" spans="1:12" ht="15">
      <c r="A5" s="34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ht="12.75">
      <c r="A6" s="14" t="s">
        <v>110</v>
      </c>
      <c r="B6" s="14" t="s">
        <v>111</v>
      </c>
      <c r="C6" s="14" t="s">
        <v>112</v>
      </c>
      <c r="D6" s="14" t="str">
        <f>"0,5885"</f>
        <v>0,5885</v>
      </c>
      <c r="E6" s="14" t="s">
        <v>26</v>
      </c>
      <c r="F6" s="14" t="s">
        <v>113</v>
      </c>
      <c r="G6" s="15" t="s">
        <v>32</v>
      </c>
      <c r="H6" s="15" t="s">
        <v>33</v>
      </c>
      <c r="I6" s="16" t="s">
        <v>38</v>
      </c>
      <c r="J6" s="16"/>
      <c r="K6" s="14" t="str">
        <f>"120,0"</f>
        <v>120,0</v>
      </c>
      <c r="L6" s="15" t="str">
        <f>"135,5904"</f>
        <v>135,5904</v>
      </c>
      <c r="M6" s="14" t="s">
        <v>35</v>
      </c>
    </row>
    <row r="8" spans="5:6" ht="15">
      <c r="E8" s="6" t="s">
        <v>11</v>
      </c>
      <c r="F8" s="4" t="s">
        <v>368</v>
      </c>
    </row>
    <row r="9" spans="5:6" ht="15">
      <c r="E9" s="6" t="s">
        <v>12</v>
      </c>
      <c r="F9" s="4" t="s">
        <v>369</v>
      </c>
    </row>
    <row r="10" spans="5:6" ht="15">
      <c r="E10" s="6" t="s">
        <v>13</v>
      </c>
      <c r="F10" s="4" t="s">
        <v>370</v>
      </c>
    </row>
    <row r="11" spans="5:6" ht="15">
      <c r="E11" s="6" t="s">
        <v>14</v>
      </c>
      <c r="F11" s="4" t="s">
        <v>371</v>
      </c>
    </row>
    <row r="12" spans="5:6" ht="15">
      <c r="E12" s="6" t="s">
        <v>14</v>
      </c>
      <c r="F12" s="4" t="s">
        <v>372</v>
      </c>
    </row>
    <row r="13" spans="5:6" ht="15">
      <c r="E13" s="6" t="s">
        <v>15</v>
      </c>
      <c r="F13" s="4" t="s">
        <v>369</v>
      </c>
    </row>
    <row r="14" ht="15">
      <c r="E14" s="6"/>
    </row>
    <row r="16" spans="1:2" ht="18">
      <c r="A16" s="7"/>
      <c r="B16" s="7"/>
    </row>
    <row r="17" spans="1:2" ht="15">
      <c r="A17" s="17"/>
      <c r="B17" s="17"/>
    </row>
    <row r="18" spans="1:2" ht="14.25">
      <c r="A18" s="19"/>
      <c r="B18" s="20"/>
    </row>
    <row r="19" spans="1:5" ht="15">
      <c r="A19" s="21"/>
      <c r="B19" s="21"/>
      <c r="C19" s="21"/>
      <c r="D19" s="21"/>
      <c r="E19" s="21"/>
    </row>
    <row r="20" spans="1:5" ht="12.75">
      <c r="A20" s="18"/>
      <c r="E20" s="22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4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4" bestFit="1" customWidth="1"/>
    <col min="20" max="20" width="8.625" style="3" bestFit="1" customWidth="1"/>
    <col min="21" max="21" width="23.00390625" style="4" bestFit="1" customWidth="1"/>
    <col min="22" max="16384" width="9.125" style="3" customWidth="1"/>
  </cols>
  <sheetData>
    <row r="1" spans="1:21" s="2" customFormat="1" ht="15" customHeight="1">
      <c r="A1" s="36" t="s">
        <v>465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6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>
      <c r="A3" s="42" t="s">
        <v>0</v>
      </c>
      <c r="B3" s="44" t="s">
        <v>8</v>
      </c>
      <c r="C3" s="44" t="s">
        <v>9</v>
      </c>
      <c r="D3" s="46" t="s">
        <v>463</v>
      </c>
      <c r="E3" s="46" t="s">
        <v>6</v>
      </c>
      <c r="F3" s="46" t="s">
        <v>10</v>
      </c>
      <c r="G3" s="46" t="s">
        <v>1</v>
      </c>
      <c r="H3" s="46"/>
      <c r="I3" s="46"/>
      <c r="J3" s="46"/>
      <c r="K3" s="46" t="s">
        <v>462</v>
      </c>
      <c r="L3" s="46"/>
      <c r="M3" s="46"/>
      <c r="N3" s="46"/>
      <c r="O3" s="46" t="s">
        <v>2</v>
      </c>
      <c r="P3" s="46"/>
      <c r="Q3" s="46"/>
      <c r="R3" s="46"/>
      <c r="S3" s="46" t="s">
        <v>3</v>
      </c>
      <c r="T3" s="46" t="s">
        <v>5</v>
      </c>
      <c r="U3" s="47" t="s">
        <v>4</v>
      </c>
    </row>
    <row r="4" spans="1:21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5">
        <v>1</v>
      </c>
      <c r="P4" s="5">
        <v>2</v>
      </c>
      <c r="Q4" s="5">
        <v>3</v>
      </c>
      <c r="R4" s="5" t="s">
        <v>7</v>
      </c>
      <c r="S4" s="45"/>
      <c r="T4" s="45"/>
      <c r="U4" s="48"/>
    </row>
    <row r="5" spans="1:20" ht="15">
      <c r="A5" s="34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1" ht="12.75">
      <c r="A6" s="14" t="s">
        <v>110</v>
      </c>
      <c r="B6" s="14" t="s">
        <v>111</v>
      </c>
      <c r="C6" s="14" t="s">
        <v>112</v>
      </c>
      <c r="D6" s="14" t="str">
        <f>"0,7201"</f>
        <v>0,7201</v>
      </c>
      <c r="E6" s="14" t="s">
        <v>26</v>
      </c>
      <c r="F6" s="14" t="s">
        <v>113</v>
      </c>
      <c r="G6" s="16"/>
      <c r="H6" s="16"/>
      <c r="I6" s="16"/>
      <c r="J6" s="16"/>
      <c r="K6" s="15" t="s">
        <v>169</v>
      </c>
      <c r="L6" s="16" t="s">
        <v>129</v>
      </c>
      <c r="M6" s="16"/>
      <c r="N6" s="16"/>
      <c r="O6" s="16"/>
      <c r="P6" s="16"/>
      <c r="Q6" s="16"/>
      <c r="R6" s="16"/>
      <c r="S6" s="14" t="str">
        <f>"2925,0"</f>
        <v>2925,0</v>
      </c>
      <c r="T6" s="15" t="str">
        <f>"2106,2925"</f>
        <v>2106,2925</v>
      </c>
      <c r="U6" s="14" t="s">
        <v>35</v>
      </c>
    </row>
    <row r="8" spans="5:6" ht="15">
      <c r="E8" s="6" t="s">
        <v>11</v>
      </c>
      <c r="F8" s="4" t="s">
        <v>368</v>
      </c>
    </row>
    <row r="9" spans="5:6" ht="15">
      <c r="E9" s="6" t="s">
        <v>12</v>
      </c>
      <c r="F9" s="4" t="s">
        <v>369</v>
      </c>
    </row>
    <row r="10" spans="5:6" ht="15">
      <c r="E10" s="6" t="s">
        <v>13</v>
      </c>
      <c r="F10" s="4" t="s">
        <v>370</v>
      </c>
    </row>
    <row r="11" spans="5:6" ht="15">
      <c r="E11" s="6" t="s">
        <v>14</v>
      </c>
      <c r="F11" s="4" t="s">
        <v>371</v>
      </c>
    </row>
    <row r="12" spans="5:6" ht="15">
      <c r="E12" s="6" t="s">
        <v>14</v>
      </c>
      <c r="F12" s="4" t="s">
        <v>372</v>
      </c>
    </row>
    <row r="13" spans="5:6" ht="15">
      <c r="E13" s="6" t="s">
        <v>15</v>
      </c>
      <c r="F13" s="4" t="s">
        <v>369</v>
      </c>
    </row>
    <row r="14" ht="15">
      <c r="E14" s="6"/>
    </row>
    <row r="16" spans="1:2" ht="18">
      <c r="A16" s="7"/>
      <c r="B16" s="7"/>
    </row>
    <row r="17" spans="1:2" ht="15">
      <c r="A17" s="17"/>
      <c r="B17" s="17"/>
    </row>
    <row r="18" spans="1:2" ht="14.25">
      <c r="A18" s="19"/>
      <c r="B18" s="20"/>
    </row>
    <row r="19" spans="1:5" ht="15">
      <c r="A19" s="21"/>
      <c r="B19" s="21"/>
      <c r="C19" s="21"/>
      <c r="D19" s="21"/>
      <c r="E19" s="21"/>
    </row>
    <row r="20" spans="1:5" ht="12.75">
      <c r="A20" s="18"/>
      <c r="E20" s="22"/>
    </row>
  </sheetData>
  <sheetProtection/>
  <mergeCells count="14"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9">
      <selection activeCell="F17" sqref="F1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8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6" t="s">
        <v>108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8</v>
      </c>
      <c r="C3" s="44" t="s">
        <v>9</v>
      </c>
      <c r="D3" s="46" t="s">
        <v>18</v>
      </c>
      <c r="E3" s="46" t="s">
        <v>6</v>
      </c>
      <c r="F3" s="46" t="s">
        <v>10</v>
      </c>
      <c r="G3" s="46" t="s">
        <v>20</v>
      </c>
      <c r="H3" s="46"/>
      <c r="I3" s="46"/>
      <c r="J3" s="46"/>
      <c r="K3" s="46" t="s">
        <v>121</v>
      </c>
      <c r="L3" s="46" t="s">
        <v>5</v>
      </c>
      <c r="M3" s="47" t="s">
        <v>4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8"/>
    </row>
    <row r="5" spans="1:12" ht="15">
      <c r="A5" s="34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ht="12.75">
      <c r="A6" s="14" t="s">
        <v>110</v>
      </c>
      <c r="B6" s="14" t="s">
        <v>111</v>
      </c>
      <c r="C6" s="14" t="s">
        <v>112</v>
      </c>
      <c r="D6" s="14" t="str">
        <f>"0,5885"</f>
        <v>0,5885</v>
      </c>
      <c r="E6" s="14" t="s">
        <v>26</v>
      </c>
      <c r="F6" s="14" t="s">
        <v>113</v>
      </c>
      <c r="G6" s="15" t="s">
        <v>32</v>
      </c>
      <c r="H6" s="15" t="s">
        <v>33</v>
      </c>
      <c r="I6" s="16" t="s">
        <v>38</v>
      </c>
      <c r="J6" s="16"/>
      <c r="K6" s="14" t="str">
        <f>"120,0"</f>
        <v>120,0</v>
      </c>
      <c r="L6" s="15" t="str">
        <f>"135,5904"</f>
        <v>135,5904</v>
      </c>
      <c r="M6" s="14" t="s">
        <v>35</v>
      </c>
    </row>
    <row r="8" spans="1:12" ht="15">
      <c r="A8" s="49" t="s">
        <v>114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4" t="s">
        <v>115</v>
      </c>
      <c r="B9" s="14" t="s">
        <v>116</v>
      </c>
      <c r="C9" s="14" t="s">
        <v>117</v>
      </c>
      <c r="D9" s="14" t="str">
        <f>"0,5237"</f>
        <v>0,5237</v>
      </c>
      <c r="E9" s="14" t="s">
        <v>26</v>
      </c>
      <c r="F9" s="14" t="s">
        <v>118</v>
      </c>
      <c r="G9" s="15" t="s">
        <v>34</v>
      </c>
      <c r="H9" s="16" t="s">
        <v>50</v>
      </c>
      <c r="I9" s="16" t="s">
        <v>50</v>
      </c>
      <c r="J9" s="16"/>
      <c r="K9" s="14" t="str">
        <f>"165,0"</f>
        <v>165,0</v>
      </c>
      <c r="L9" s="15" t="str">
        <f>"87,1882"</f>
        <v>87,1882</v>
      </c>
      <c r="M9" s="14" t="s">
        <v>35</v>
      </c>
    </row>
    <row r="11" spans="5:6" ht="15">
      <c r="E11" s="6" t="s">
        <v>11</v>
      </c>
      <c r="F11" s="4" t="s">
        <v>368</v>
      </c>
    </row>
    <row r="12" spans="5:6" ht="15">
      <c r="E12" s="6" t="s">
        <v>12</v>
      </c>
      <c r="F12" s="4" t="s">
        <v>369</v>
      </c>
    </row>
    <row r="13" spans="5:6" ht="15">
      <c r="E13" s="6" t="s">
        <v>13</v>
      </c>
      <c r="F13" s="4" t="s">
        <v>370</v>
      </c>
    </row>
    <row r="14" spans="5:6" ht="15">
      <c r="E14" s="6" t="s">
        <v>14</v>
      </c>
      <c r="F14" s="4" t="s">
        <v>371</v>
      </c>
    </row>
    <row r="15" spans="5:6" ht="15">
      <c r="E15" s="6" t="s">
        <v>14</v>
      </c>
      <c r="F15" s="4" t="s">
        <v>372</v>
      </c>
    </row>
    <row r="16" spans="5:6" ht="15">
      <c r="E16" s="6" t="s">
        <v>15</v>
      </c>
      <c r="F16" s="4" t="s">
        <v>369</v>
      </c>
    </row>
    <row r="17" ht="15">
      <c r="E17" s="6"/>
    </row>
    <row r="19" spans="1:2" ht="18">
      <c r="A19" s="7"/>
      <c r="B19" s="7"/>
    </row>
    <row r="20" spans="1:2" ht="15">
      <c r="A20" s="17"/>
      <c r="B20" s="17"/>
    </row>
    <row r="21" spans="1:2" ht="14.25">
      <c r="A21" s="19"/>
      <c r="B21" s="20"/>
    </row>
    <row r="22" spans="1:5" ht="15">
      <c r="A22" s="21"/>
      <c r="B22" s="21"/>
      <c r="C22" s="21"/>
      <c r="D22" s="21"/>
      <c r="E22" s="21"/>
    </row>
    <row r="23" spans="1:5" ht="12.75">
      <c r="A23" s="18"/>
      <c r="E23" s="22"/>
    </row>
    <row r="24" spans="1:5" ht="12.75">
      <c r="A24" s="18"/>
      <c r="E24" s="22"/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8">
      <selection activeCell="F29" sqref="F2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37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7.00390625" style="4" bestFit="1" customWidth="1"/>
    <col min="22" max="16384" width="9.125" style="3" customWidth="1"/>
  </cols>
  <sheetData>
    <row r="1" spans="1:21" s="2" customFormat="1" ht="28.5" customHeight="1">
      <c r="A1" s="36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>
      <c r="A3" s="42" t="s">
        <v>0</v>
      </c>
      <c r="B3" s="44" t="s">
        <v>8</v>
      </c>
      <c r="C3" s="44" t="s">
        <v>9</v>
      </c>
      <c r="D3" s="46" t="s">
        <v>18</v>
      </c>
      <c r="E3" s="46" t="s">
        <v>6</v>
      </c>
      <c r="F3" s="46" t="s">
        <v>10</v>
      </c>
      <c r="G3" s="46" t="s">
        <v>19</v>
      </c>
      <c r="H3" s="46"/>
      <c r="I3" s="46"/>
      <c r="J3" s="46"/>
      <c r="K3" s="46" t="s">
        <v>20</v>
      </c>
      <c r="L3" s="46"/>
      <c r="M3" s="46"/>
      <c r="N3" s="46"/>
      <c r="O3" s="46" t="s">
        <v>21</v>
      </c>
      <c r="P3" s="46"/>
      <c r="Q3" s="46"/>
      <c r="R3" s="46"/>
      <c r="S3" s="46" t="s">
        <v>3</v>
      </c>
      <c r="T3" s="46" t="s">
        <v>5</v>
      </c>
      <c r="U3" s="47" t="s">
        <v>4</v>
      </c>
    </row>
    <row r="4" spans="1:21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5">
        <v>1</v>
      </c>
      <c r="P4" s="5">
        <v>2</v>
      </c>
      <c r="Q4" s="5">
        <v>3</v>
      </c>
      <c r="R4" s="5" t="s">
        <v>7</v>
      </c>
      <c r="S4" s="45"/>
      <c r="T4" s="45"/>
      <c r="U4" s="48"/>
    </row>
    <row r="5" spans="1:20" ht="15">
      <c r="A5" s="34" t="s">
        <v>60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1" ht="12.75">
      <c r="A6" s="14" t="s">
        <v>61</v>
      </c>
      <c r="B6" s="14" t="s">
        <v>62</v>
      </c>
      <c r="C6" s="14" t="s">
        <v>63</v>
      </c>
      <c r="D6" s="14" t="str">
        <f>"0,6680"</f>
        <v>0,6680</v>
      </c>
      <c r="E6" s="14" t="s">
        <v>26</v>
      </c>
      <c r="F6" s="14" t="s">
        <v>64</v>
      </c>
      <c r="G6" s="15" t="s">
        <v>33</v>
      </c>
      <c r="H6" s="16" t="s">
        <v>65</v>
      </c>
      <c r="I6" s="15" t="s">
        <v>65</v>
      </c>
      <c r="J6" s="16"/>
      <c r="K6" s="15" t="s">
        <v>66</v>
      </c>
      <c r="L6" s="16" t="s">
        <v>67</v>
      </c>
      <c r="M6" s="16" t="s">
        <v>67</v>
      </c>
      <c r="N6" s="16"/>
      <c r="O6" s="15" t="s">
        <v>33</v>
      </c>
      <c r="P6" s="16" t="s">
        <v>68</v>
      </c>
      <c r="Q6" s="15" t="s">
        <v>68</v>
      </c>
      <c r="R6" s="16"/>
      <c r="S6" s="14" t="str">
        <f>"335,0"</f>
        <v>335,0</v>
      </c>
      <c r="T6" s="15" t="str">
        <f>"232,7312"</f>
        <v>232,7312</v>
      </c>
      <c r="U6" s="14" t="s">
        <v>35</v>
      </c>
    </row>
    <row r="8" spans="1:20" ht="15">
      <c r="A8" s="49" t="s">
        <v>22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1" ht="12.75">
      <c r="A9" s="8" t="s">
        <v>69</v>
      </c>
      <c r="B9" s="8" t="s">
        <v>70</v>
      </c>
      <c r="C9" s="8" t="s">
        <v>71</v>
      </c>
      <c r="D9" s="8" t="str">
        <f>"0,6382"</f>
        <v>0,6382</v>
      </c>
      <c r="E9" s="8" t="s">
        <v>26</v>
      </c>
      <c r="F9" s="8" t="s">
        <v>64</v>
      </c>
      <c r="G9" s="9" t="s">
        <v>72</v>
      </c>
      <c r="H9" s="10" t="s">
        <v>73</v>
      </c>
      <c r="I9" s="9" t="s">
        <v>33</v>
      </c>
      <c r="J9" s="10"/>
      <c r="K9" s="9" t="s">
        <v>66</v>
      </c>
      <c r="L9" s="10" t="s">
        <v>67</v>
      </c>
      <c r="M9" s="10" t="s">
        <v>67</v>
      </c>
      <c r="N9" s="10"/>
      <c r="O9" s="10" t="s">
        <v>73</v>
      </c>
      <c r="P9" s="9" t="s">
        <v>73</v>
      </c>
      <c r="Q9" s="9" t="s">
        <v>33</v>
      </c>
      <c r="R9" s="10"/>
      <c r="S9" s="8" t="str">
        <f>"310,0"</f>
        <v>310,0</v>
      </c>
      <c r="T9" s="9" t="str">
        <f>"213,6694"</f>
        <v>213,6694</v>
      </c>
      <c r="U9" s="8" t="s">
        <v>35</v>
      </c>
    </row>
    <row r="10" spans="1:21" ht="12.75">
      <c r="A10" s="23" t="s">
        <v>74</v>
      </c>
      <c r="B10" s="23" t="s">
        <v>24</v>
      </c>
      <c r="C10" s="23" t="s">
        <v>37</v>
      </c>
      <c r="D10" s="23" t="str">
        <f>"0,6279"</f>
        <v>0,6279</v>
      </c>
      <c r="E10" s="23" t="s">
        <v>26</v>
      </c>
      <c r="F10" s="23" t="s">
        <v>27</v>
      </c>
      <c r="G10" s="24" t="s">
        <v>50</v>
      </c>
      <c r="H10" s="24"/>
      <c r="I10" s="24"/>
      <c r="J10" s="24"/>
      <c r="K10" s="24" t="s">
        <v>32</v>
      </c>
      <c r="L10" s="24"/>
      <c r="M10" s="24"/>
      <c r="N10" s="24"/>
      <c r="O10" s="24" t="s">
        <v>41</v>
      </c>
      <c r="P10" s="24"/>
      <c r="Q10" s="24"/>
      <c r="R10" s="24"/>
      <c r="S10" s="23" t="str">
        <f>"0.00"</f>
        <v>0.00</v>
      </c>
      <c r="T10" s="25" t="str">
        <f>"0,0000"</f>
        <v>0,0000</v>
      </c>
      <c r="U10" s="23" t="s">
        <v>35</v>
      </c>
    </row>
    <row r="11" spans="1:21" ht="12.75">
      <c r="A11" s="11" t="s">
        <v>75</v>
      </c>
      <c r="B11" s="11" t="s">
        <v>24</v>
      </c>
      <c r="C11" s="11" t="s">
        <v>25</v>
      </c>
      <c r="D11" s="11" t="str">
        <f>"0,6246"</f>
        <v>0,6246</v>
      </c>
      <c r="E11" s="11" t="s">
        <v>26</v>
      </c>
      <c r="F11" s="11" t="s">
        <v>27</v>
      </c>
      <c r="G11" s="13" t="s">
        <v>50</v>
      </c>
      <c r="H11" s="13"/>
      <c r="I11" s="13"/>
      <c r="J11" s="13"/>
      <c r="K11" s="13" t="s">
        <v>31</v>
      </c>
      <c r="L11" s="13"/>
      <c r="M11" s="13"/>
      <c r="N11" s="13"/>
      <c r="O11" s="13" t="s">
        <v>50</v>
      </c>
      <c r="P11" s="13"/>
      <c r="Q11" s="13"/>
      <c r="R11" s="13"/>
      <c r="S11" s="11" t="str">
        <f>"0.00"</f>
        <v>0.00</v>
      </c>
      <c r="T11" s="12" t="str">
        <f>"0,0000"</f>
        <v>0,0000</v>
      </c>
      <c r="U11" s="11" t="s">
        <v>35</v>
      </c>
    </row>
    <row r="13" spans="1:20" ht="15">
      <c r="A13" s="49" t="s">
        <v>42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1" ht="12.75">
      <c r="A14" s="14" t="s">
        <v>76</v>
      </c>
      <c r="B14" s="14" t="s">
        <v>44</v>
      </c>
      <c r="C14" s="14" t="s">
        <v>45</v>
      </c>
      <c r="D14" s="14" t="str">
        <f>"0,5857"</f>
        <v>0,5857</v>
      </c>
      <c r="E14" s="14" t="s">
        <v>26</v>
      </c>
      <c r="F14" s="14" t="s">
        <v>27</v>
      </c>
      <c r="G14" s="16" t="s">
        <v>38</v>
      </c>
      <c r="H14" s="16"/>
      <c r="I14" s="16"/>
      <c r="J14" s="16"/>
      <c r="K14" s="16" t="s">
        <v>77</v>
      </c>
      <c r="L14" s="16"/>
      <c r="M14" s="16"/>
      <c r="N14" s="16"/>
      <c r="O14" s="16" t="s">
        <v>40</v>
      </c>
      <c r="P14" s="16"/>
      <c r="Q14" s="16"/>
      <c r="R14" s="16"/>
      <c r="S14" s="14" t="str">
        <f>"0.00"</f>
        <v>0.00</v>
      </c>
      <c r="T14" s="15" t="str">
        <f>"0,0000"</f>
        <v>0,0000</v>
      </c>
      <c r="U14" s="14" t="s">
        <v>35</v>
      </c>
    </row>
    <row r="16" spans="1:20" ht="15">
      <c r="A16" s="49" t="s">
        <v>78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1" ht="12.75">
      <c r="A17" s="14" t="s">
        <v>79</v>
      </c>
      <c r="B17" s="14" t="s">
        <v>80</v>
      </c>
      <c r="C17" s="14" t="s">
        <v>81</v>
      </c>
      <c r="D17" s="14" t="str">
        <f>"0,5744"</f>
        <v>0,5744</v>
      </c>
      <c r="E17" s="14" t="s">
        <v>26</v>
      </c>
      <c r="F17" s="14" t="s">
        <v>64</v>
      </c>
      <c r="G17" s="15" t="s">
        <v>82</v>
      </c>
      <c r="H17" s="15" t="s">
        <v>83</v>
      </c>
      <c r="I17" s="16" t="s">
        <v>30</v>
      </c>
      <c r="J17" s="16"/>
      <c r="K17" s="15" t="s">
        <v>73</v>
      </c>
      <c r="L17" s="16" t="s">
        <v>32</v>
      </c>
      <c r="M17" s="16" t="s">
        <v>32</v>
      </c>
      <c r="N17" s="16"/>
      <c r="O17" s="16" t="s">
        <v>82</v>
      </c>
      <c r="P17" s="15" t="s">
        <v>83</v>
      </c>
      <c r="Q17" s="16" t="s">
        <v>30</v>
      </c>
      <c r="R17" s="16"/>
      <c r="S17" s="14" t="str">
        <f>"490,0"</f>
        <v>490,0</v>
      </c>
      <c r="T17" s="15" t="str">
        <f>"298,3434"</f>
        <v>298,3434</v>
      </c>
      <c r="U17" s="14" t="s">
        <v>84</v>
      </c>
    </row>
    <row r="19" spans="1:20" ht="15">
      <c r="A19" s="49" t="s">
        <v>85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1" ht="12.75">
      <c r="A20" s="8" t="s">
        <v>86</v>
      </c>
      <c r="B20" s="8" t="s">
        <v>87</v>
      </c>
      <c r="C20" s="8" t="s">
        <v>88</v>
      </c>
      <c r="D20" s="8" t="str">
        <f>"0,5437"</f>
        <v>0,5437</v>
      </c>
      <c r="E20" s="8" t="s">
        <v>26</v>
      </c>
      <c r="F20" s="8" t="s">
        <v>89</v>
      </c>
      <c r="G20" s="9" t="s">
        <v>90</v>
      </c>
      <c r="H20" s="9" t="s">
        <v>91</v>
      </c>
      <c r="I20" s="9" t="s">
        <v>92</v>
      </c>
      <c r="J20" s="10"/>
      <c r="K20" s="9" t="s">
        <v>93</v>
      </c>
      <c r="L20" s="9" t="s">
        <v>94</v>
      </c>
      <c r="M20" s="9" t="s">
        <v>40</v>
      </c>
      <c r="N20" s="10"/>
      <c r="O20" s="10" t="s">
        <v>95</v>
      </c>
      <c r="P20" s="9" t="s">
        <v>96</v>
      </c>
      <c r="Q20" s="10" t="s">
        <v>97</v>
      </c>
      <c r="R20" s="10"/>
      <c r="S20" s="8" t="str">
        <f>"660,0"</f>
        <v>660,0</v>
      </c>
      <c r="T20" s="9" t="str">
        <f>"358,8420"</f>
        <v>358,8420</v>
      </c>
      <c r="U20" s="8" t="s">
        <v>35</v>
      </c>
    </row>
    <row r="21" spans="1:21" ht="12.75">
      <c r="A21" s="23" t="s">
        <v>98</v>
      </c>
      <c r="B21" s="23" t="s">
        <v>99</v>
      </c>
      <c r="C21" s="23" t="s">
        <v>100</v>
      </c>
      <c r="D21" s="23" t="str">
        <f>"0,5391"</f>
        <v>0,5391</v>
      </c>
      <c r="E21" s="23" t="s">
        <v>26</v>
      </c>
      <c r="F21" s="23" t="s">
        <v>101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3" t="str">
        <f>"0.00"</f>
        <v>0.00</v>
      </c>
      <c r="T21" s="25" t="str">
        <f>"0,0000"</f>
        <v>0,0000</v>
      </c>
      <c r="U21" s="23" t="s">
        <v>35</v>
      </c>
    </row>
    <row r="22" spans="1:21" ht="12.75">
      <c r="A22" s="11" t="s">
        <v>86</v>
      </c>
      <c r="B22" s="11" t="s">
        <v>102</v>
      </c>
      <c r="C22" s="11" t="s">
        <v>88</v>
      </c>
      <c r="D22" s="11" t="str">
        <f>"0,5437"</f>
        <v>0,5437</v>
      </c>
      <c r="E22" s="11" t="s">
        <v>26</v>
      </c>
      <c r="F22" s="11" t="s">
        <v>89</v>
      </c>
      <c r="G22" s="12" t="s">
        <v>90</v>
      </c>
      <c r="H22" s="12" t="s">
        <v>91</v>
      </c>
      <c r="I22" s="12" t="s">
        <v>92</v>
      </c>
      <c r="J22" s="13"/>
      <c r="K22" s="12" t="s">
        <v>93</v>
      </c>
      <c r="L22" s="12" t="s">
        <v>94</v>
      </c>
      <c r="M22" s="12" t="s">
        <v>40</v>
      </c>
      <c r="N22" s="13"/>
      <c r="O22" s="13" t="s">
        <v>95</v>
      </c>
      <c r="P22" s="12" t="s">
        <v>96</v>
      </c>
      <c r="Q22" s="13" t="s">
        <v>97</v>
      </c>
      <c r="R22" s="13"/>
      <c r="S22" s="11" t="str">
        <f>"660,0"</f>
        <v>660,0</v>
      </c>
      <c r="T22" s="12" t="str">
        <f>"391,8554"</f>
        <v>391,8554</v>
      </c>
      <c r="U22" s="11" t="s">
        <v>35</v>
      </c>
    </row>
    <row r="24" spans="5:6" ht="15">
      <c r="E24" s="6" t="s">
        <v>11</v>
      </c>
      <c r="F24" s="4" t="s">
        <v>368</v>
      </c>
    </row>
    <row r="25" spans="5:6" ht="15">
      <c r="E25" s="6" t="s">
        <v>12</v>
      </c>
      <c r="F25" s="4" t="s">
        <v>369</v>
      </c>
    </row>
    <row r="26" spans="5:6" ht="15">
      <c r="E26" s="6" t="s">
        <v>13</v>
      </c>
      <c r="F26" s="4" t="s">
        <v>370</v>
      </c>
    </row>
    <row r="27" spans="5:6" ht="15">
      <c r="E27" s="6" t="s">
        <v>14</v>
      </c>
      <c r="F27" s="4" t="s">
        <v>371</v>
      </c>
    </row>
    <row r="28" spans="5:6" ht="15">
      <c r="E28" s="6" t="s">
        <v>14</v>
      </c>
      <c r="F28" s="4" t="s">
        <v>372</v>
      </c>
    </row>
    <row r="29" spans="5:6" ht="15">
      <c r="E29" s="6" t="s">
        <v>15</v>
      </c>
      <c r="F29" s="4" t="s">
        <v>369</v>
      </c>
    </row>
    <row r="30" ht="15">
      <c r="E30" s="6"/>
    </row>
    <row r="32" spans="1:2" ht="18">
      <c r="A32" s="7"/>
      <c r="B32" s="7"/>
    </row>
    <row r="33" spans="1:2" ht="15">
      <c r="A33" s="17"/>
      <c r="B33" s="17"/>
    </row>
    <row r="34" spans="1:2" ht="14.25">
      <c r="A34" s="19"/>
      <c r="B34" s="20"/>
    </row>
    <row r="35" spans="1:5" ht="15">
      <c r="A35" s="21"/>
      <c r="B35" s="21"/>
      <c r="C35" s="21"/>
      <c r="D35" s="21"/>
      <c r="E35" s="21"/>
    </row>
    <row r="36" spans="1:5" ht="12.75">
      <c r="A36" s="18"/>
      <c r="E36" s="22"/>
    </row>
    <row r="37" spans="1:5" ht="12.75">
      <c r="A37" s="18"/>
      <c r="E37" s="22"/>
    </row>
    <row r="38" spans="1:5" ht="12.75">
      <c r="A38" s="18"/>
      <c r="E38" s="22"/>
    </row>
    <row r="40" spans="1:2" ht="14.25">
      <c r="A40" s="19"/>
      <c r="B40" s="20"/>
    </row>
    <row r="41" spans="1:5" ht="15">
      <c r="A41" s="21"/>
      <c r="B41" s="21"/>
      <c r="C41" s="21"/>
      <c r="D41" s="21"/>
      <c r="E41" s="21"/>
    </row>
    <row r="42" spans="1:5" ht="12.75">
      <c r="A42" s="18"/>
      <c r="E42" s="22"/>
    </row>
    <row r="44" spans="1:2" ht="14.25">
      <c r="A44" s="19"/>
      <c r="B44" s="20"/>
    </row>
    <row r="45" spans="1:5" ht="15">
      <c r="A45" s="21"/>
      <c r="B45" s="21"/>
      <c r="C45" s="21"/>
      <c r="D45" s="21"/>
      <c r="E45" s="21"/>
    </row>
    <row r="46" spans="1:5" ht="12.75">
      <c r="A46" s="18"/>
      <c r="E46" s="22"/>
    </row>
  </sheetData>
  <sheetProtection/>
  <mergeCells count="18">
    <mergeCell ref="A16:T16"/>
    <mergeCell ref="A19:T19"/>
    <mergeCell ref="S3:S4"/>
    <mergeCell ref="T3:T4"/>
    <mergeCell ref="U3:U4"/>
    <mergeCell ref="A5:T5"/>
    <mergeCell ref="A8:T8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7.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1" customFormat="1" ht="12.75" customHeight="1">
      <c r="A3" s="42" t="s">
        <v>0</v>
      </c>
      <c r="B3" s="44" t="s">
        <v>8</v>
      </c>
      <c r="C3" s="44" t="s">
        <v>9</v>
      </c>
      <c r="D3" s="46" t="s">
        <v>18</v>
      </c>
      <c r="E3" s="46" t="s">
        <v>6</v>
      </c>
      <c r="F3" s="46" t="s">
        <v>10</v>
      </c>
      <c r="G3" s="46" t="s">
        <v>19</v>
      </c>
      <c r="H3" s="46"/>
      <c r="I3" s="46"/>
      <c r="J3" s="46"/>
      <c r="K3" s="46" t="s">
        <v>20</v>
      </c>
      <c r="L3" s="46"/>
      <c r="M3" s="46"/>
      <c r="N3" s="46"/>
      <c r="O3" s="46" t="s">
        <v>21</v>
      </c>
      <c r="P3" s="46"/>
      <c r="Q3" s="46"/>
      <c r="R3" s="46"/>
      <c r="S3" s="46" t="s">
        <v>3</v>
      </c>
      <c r="T3" s="46" t="s">
        <v>5</v>
      </c>
      <c r="U3" s="47" t="s">
        <v>4</v>
      </c>
    </row>
    <row r="4" spans="1:21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5">
        <v>1</v>
      </c>
      <c r="P4" s="5">
        <v>2</v>
      </c>
      <c r="Q4" s="5">
        <v>3</v>
      </c>
      <c r="R4" s="5" t="s">
        <v>7</v>
      </c>
      <c r="S4" s="45"/>
      <c r="T4" s="45"/>
      <c r="U4" s="48"/>
    </row>
    <row r="5" spans="1:20" ht="15">
      <c r="A5" s="34" t="s">
        <v>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1" ht="12.75">
      <c r="A6" s="8" t="s">
        <v>23</v>
      </c>
      <c r="B6" s="8" t="s">
        <v>24</v>
      </c>
      <c r="C6" s="8" t="s">
        <v>25</v>
      </c>
      <c r="D6" s="8" t="str">
        <f>"0,6246"</f>
        <v>0,6246</v>
      </c>
      <c r="E6" s="8" t="s">
        <v>26</v>
      </c>
      <c r="F6" s="8" t="s">
        <v>27</v>
      </c>
      <c r="G6" s="9" t="s">
        <v>28</v>
      </c>
      <c r="H6" s="9" t="s">
        <v>29</v>
      </c>
      <c r="I6" s="9" t="s">
        <v>30</v>
      </c>
      <c r="J6" s="10"/>
      <c r="K6" s="10" t="s">
        <v>31</v>
      </c>
      <c r="L6" s="9" t="s">
        <v>32</v>
      </c>
      <c r="M6" s="10" t="s">
        <v>33</v>
      </c>
      <c r="N6" s="10"/>
      <c r="O6" s="10" t="s">
        <v>34</v>
      </c>
      <c r="P6" s="10" t="s">
        <v>28</v>
      </c>
      <c r="Q6" s="9" t="s">
        <v>28</v>
      </c>
      <c r="R6" s="10"/>
      <c r="S6" s="8" t="str">
        <f>"500,0"</f>
        <v>500,0</v>
      </c>
      <c r="T6" s="9" t="str">
        <f>"337,2840"</f>
        <v>337,2840</v>
      </c>
      <c r="U6" s="8" t="s">
        <v>35</v>
      </c>
    </row>
    <row r="7" spans="1:21" ht="12.75">
      <c r="A7" s="11" t="s">
        <v>36</v>
      </c>
      <c r="B7" s="11" t="s">
        <v>24</v>
      </c>
      <c r="C7" s="11" t="s">
        <v>37</v>
      </c>
      <c r="D7" s="11" t="str">
        <f>"0,6279"</f>
        <v>0,6279</v>
      </c>
      <c r="E7" s="11" t="s">
        <v>26</v>
      </c>
      <c r="F7" s="11" t="s">
        <v>27</v>
      </c>
      <c r="G7" s="12" t="s">
        <v>28</v>
      </c>
      <c r="H7" s="13" t="s">
        <v>29</v>
      </c>
      <c r="I7" s="13" t="s">
        <v>30</v>
      </c>
      <c r="J7" s="13"/>
      <c r="K7" s="12" t="s">
        <v>32</v>
      </c>
      <c r="L7" s="13" t="s">
        <v>38</v>
      </c>
      <c r="M7" s="12" t="s">
        <v>39</v>
      </c>
      <c r="N7" s="13"/>
      <c r="O7" s="12" t="s">
        <v>40</v>
      </c>
      <c r="P7" s="13" t="s">
        <v>41</v>
      </c>
      <c r="Q7" s="12" t="s">
        <v>41</v>
      </c>
      <c r="R7" s="13"/>
      <c r="S7" s="11" t="str">
        <f>"487,5"</f>
        <v>487,5</v>
      </c>
      <c r="T7" s="12" t="str">
        <f>"330,5894"</f>
        <v>330,5894</v>
      </c>
      <c r="U7" s="11" t="s">
        <v>35</v>
      </c>
    </row>
    <row r="9" spans="1:20" ht="15">
      <c r="A9" s="49" t="s">
        <v>42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1" ht="12.75">
      <c r="A10" s="14" t="s">
        <v>43</v>
      </c>
      <c r="B10" s="14" t="s">
        <v>44</v>
      </c>
      <c r="C10" s="14" t="s">
        <v>45</v>
      </c>
      <c r="D10" s="14" t="str">
        <f>"0,5857"</f>
        <v>0,5857</v>
      </c>
      <c r="E10" s="14" t="s">
        <v>26</v>
      </c>
      <c r="F10" s="14" t="s">
        <v>27</v>
      </c>
      <c r="G10" s="15" t="s">
        <v>46</v>
      </c>
      <c r="H10" s="16" t="s">
        <v>47</v>
      </c>
      <c r="I10" s="16" t="s">
        <v>47</v>
      </c>
      <c r="J10" s="16"/>
      <c r="K10" s="16" t="s">
        <v>48</v>
      </c>
      <c r="L10" s="15" t="s">
        <v>48</v>
      </c>
      <c r="M10" s="15" t="s">
        <v>49</v>
      </c>
      <c r="N10" s="16"/>
      <c r="O10" s="15" t="s">
        <v>40</v>
      </c>
      <c r="P10" s="15" t="s">
        <v>50</v>
      </c>
      <c r="Q10" s="15" t="s">
        <v>28</v>
      </c>
      <c r="R10" s="16"/>
      <c r="S10" s="14" t="str">
        <f>"417,5"</f>
        <v>417,5</v>
      </c>
      <c r="T10" s="15" t="str">
        <f>"264,0921"</f>
        <v>264,0921</v>
      </c>
      <c r="U10" s="14" t="s">
        <v>35</v>
      </c>
    </row>
    <row r="12" spans="5:6" ht="15">
      <c r="E12" s="6" t="s">
        <v>11</v>
      </c>
      <c r="F12" s="4" t="s">
        <v>368</v>
      </c>
    </row>
    <row r="13" spans="5:6" ht="15">
      <c r="E13" s="6" t="s">
        <v>12</v>
      </c>
      <c r="F13" s="4" t="s">
        <v>369</v>
      </c>
    </row>
    <row r="14" spans="5:6" ht="15">
      <c r="E14" s="6" t="s">
        <v>13</v>
      </c>
      <c r="F14" s="4" t="s">
        <v>370</v>
      </c>
    </row>
    <row r="15" spans="5:6" ht="15">
      <c r="E15" s="6" t="s">
        <v>14</v>
      </c>
      <c r="F15" s="4" t="s">
        <v>371</v>
      </c>
    </row>
    <row r="16" spans="5:6" ht="15">
      <c r="E16" s="6" t="s">
        <v>14</v>
      </c>
      <c r="F16" s="4" t="s">
        <v>372</v>
      </c>
    </row>
    <row r="17" spans="5:6" ht="15">
      <c r="E17" s="6" t="s">
        <v>15</v>
      </c>
      <c r="F17" s="4" t="s">
        <v>369</v>
      </c>
    </row>
    <row r="18" ht="15">
      <c r="E18" s="6"/>
    </row>
    <row r="20" spans="1:2" ht="18">
      <c r="A20" s="7"/>
      <c r="B20" s="7"/>
    </row>
    <row r="21" spans="1:2" ht="15">
      <c r="A21" s="17"/>
      <c r="B21" s="17"/>
    </row>
    <row r="22" spans="1:2" ht="14.25">
      <c r="A22" s="19"/>
      <c r="B22" s="20"/>
    </row>
    <row r="23" spans="1:5" ht="15">
      <c r="A23" s="21"/>
      <c r="B23" s="21"/>
      <c r="C23" s="21"/>
      <c r="D23" s="21"/>
      <c r="E23" s="21"/>
    </row>
    <row r="24" spans="1:5" ht="12.75">
      <c r="A24" s="18"/>
      <c r="E24" s="22"/>
    </row>
    <row r="25" spans="1:5" ht="12.75">
      <c r="A25" s="18"/>
      <c r="E25" s="22"/>
    </row>
    <row r="26" spans="1:5" ht="12.75">
      <c r="A26" s="18"/>
      <c r="E26" s="22"/>
    </row>
  </sheetData>
  <sheetProtection/>
  <mergeCells count="15">
    <mergeCell ref="A5:T5"/>
    <mergeCell ref="A9:T9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27.625" style="4" bestFit="1" customWidth="1"/>
    <col min="7" max="7" width="13.25390625" style="4" customWidth="1"/>
    <col min="8" max="8" width="14.875" style="26" customWidth="1"/>
    <col min="9" max="16384" width="9.125" style="3" customWidth="1"/>
  </cols>
  <sheetData>
    <row r="1" spans="1:8" s="2" customFormat="1" ht="28.5" customHeight="1">
      <c r="A1" s="36" t="s">
        <v>466</v>
      </c>
      <c r="B1" s="37"/>
      <c r="C1" s="37"/>
      <c r="D1" s="37"/>
      <c r="E1" s="37"/>
      <c r="F1" s="37"/>
      <c r="G1" s="38"/>
      <c r="H1" s="33"/>
    </row>
    <row r="2" spans="1:8" s="2" customFormat="1" ht="61.5" customHeight="1" thickBot="1">
      <c r="A2" s="39"/>
      <c r="B2" s="40"/>
      <c r="C2" s="40"/>
      <c r="D2" s="40"/>
      <c r="E2" s="40"/>
      <c r="F2" s="40"/>
      <c r="G2" s="41"/>
      <c r="H2" s="33"/>
    </row>
    <row r="3" spans="1:9" s="1" customFormat="1" ht="12.75" customHeight="1">
      <c r="A3" s="42" t="s">
        <v>0</v>
      </c>
      <c r="B3" s="44" t="s">
        <v>8</v>
      </c>
      <c r="C3" s="44" t="s">
        <v>9</v>
      </c>
      <c r="D3" s="46" t="s">
        <v>463</v>
      </c>
      <c r="E3" s="46" t="s">
        <v>6</v>
      </c>
      <c r="F3" s="46" t="s">
        <v>10</v>
      </c>
      <c r="G3" s="47" t="s">
        <v>4</v>
      </c>
      <c r="H3" s="32"/>
      <c r="I3" s="1" t="s">
        <v>381</v>
      </c>
    </row>
    <row r="4" spans="1:8" s="1" customFormat="1" ht="21" customHeight="1" thickBot="1">
      <c r="A4" s="43"/>
      <c r="B4" s="45"/>
      <c r="C4" s="45"/>
      <c r="D4" s="45"/>
      <c r="E4" s="45"/>
      <c r="F4" s="45"/>
      <c r="G4" s="48"/>
      <c r="H4" s="32" t="s">
        <v>379</v>
      </c>
    </row>
    <row r="5" spans="1:6" ht="15">
      <c r="A5" s="34" t="s">
        <v>124</v>
      </c>
      <c r="B5" s="35"/>
      <c r="C5" s="35"/>
      <c r="D5" s="35"/>
      <c r="E5" s="35"/>
      <c r="F5" s="35"/>
    </row>
    <row r="6" spans="1:7" ht="12.75">
      <c r="A6" s="14" t="s">
        <v>125</v>
      </c>
      <c r="B6" s="14" t="s">
        <v>126</v>
      </c>
      <c r="C6" s="14" t="s">
        <v>127</v>
      </c>
      <c r="D6" s="14" t="str">
        <f>"0,9367"</f>
        <v>0,9367</v>
      </c>
      <c r="E6" s="14" t="s">
        <v>26</v>
      </c>
      <c r="F6" s="14" t="s">
        <v>27</v>
      </c>
      <c r="G6" s="14" t="s">
        <v>35</v>
      </c>
    </row>
    <row r="8" spans="1:6" ht="15">
      <c r="A8" s="49" t="s">
        <v>22</v>
      </c>
      <c r="B8" s="50"/>
      <c r="C8" s="50"/>
      <c r="D8" s="50"/>
      <c r="E8" s="50"/>
      <c r="F8" s="50"/>
    </row>
    <row r="9" spans="1:7" ht="12.75">
      <c r="A9" s="8" t="s">
        <v>394</v>
      </c>
      <c r="B9" s="8" t="s">
        <v>396</v>
      </c>
      <c r="C9" s="8" t="s">
        <v>392</v>
      </c>
      <c r="D9" s="8" t="str">
        <f>"0,8052"</f>
        <v>0,8052</v>
      </c>
      <c r="E9" s="8" t="s">
        <v>26</v>
      </c>
      <c r="F9" s="8" t="s">
        <v>113</v>
      </c>
      <c r="G9" s="8" t="s">
        <v>35</v>
      </c>
    </row>
    <row r="10" spans="1:7" ht="12.75">
      <c r="A10" s="11" t="s">
        <v>394</v>
      </c>
      <c r="B10" s="11" t="s">
        <v>393</v>
      </c>
      <c r="C10" s="11" t="s">
        <v>392</v>
      </c>
      <c r="D10" s="11" t="str">
        <f>"0,8052"</f>
        <v>0,8052</v>
      </c>
      <c r="E10" s="11" t="s">
        <v>26</v>
      </c>
      <c r="F10" s="11" t="s">
        <v>113</v>
      </c>
      <c r="G10" s="11" t="s">
        <v>35</v>
      </c>
    </row>
    <row r="12" spans="1:6" ht="15">
      <c r="A12" s="49" t="s">
        <v>42</v>
      </c>
      <c r="B12" s="50"/>
      <c r="C12" s="50"/>
      <c r="D12" s="50"/>
      <c r="E12" s="50"/>
      <c r="F12" s="50"/>
    </row>
    <row r="13" spans="1:7" ht="12.75">
      <c r="A13" s="14" t="s">
        <v>188</v>
      </c>
      <c r="B13" s="14" t="s">
        <v>189</v>
      </c>
      <c r="C13" s="14" t="s">
        <v>190</v>
      </c>
      <c r="D13" s="14" t="str">
        <f>"0,7234"</f>
        <v>0,7234</v>
      </c>
      <c r="E13" s="14" t="s">
        <v>26</v>
      </c>
      <c r="F13" s="14" t="s">
        <v>139</v>
      </c>
      <c r="G13" s="14" t="s">
        <v>35</v>
      </c>
    </row>
    <row r="15" spans="5:6" ht="15">
      <c r="E15" s="6" t="s">
        <v>11</v>
      </c>
      <c r="F15" s="4" t="s">
        <v>368</v>
      </c>
    </row>
    <row r="16" spans="5:6" ht="15">
      <c r="E16" s="6" t="s">
        <v>12</v>
      </c>
      <c r="F16" s="4" t="s">
        <v>369</v>
      </c>
    </row>
    <row r="17" spans="5:6" ht="15">
      <c r="E17" s="6" t="s">
        <v>13</v>
      </c>
      <c r="F17" s="4" t="s">
        <v>370</v>
      </c>
    </row>
    <row r="18" spans="5:6" ht="15">
      <c r="E18" s="6" t="s">
        <v>14</v>
      </c>
      <c r="F18" s="4" t="s">
        <v>371</v>
      </c>
    </row>
    <row r="19" spans="5:6" ht="15">
      <c r="E19" s="6" t="s">
        <v>14</v>
      </c>
      <c r="F19" s="4" t="s">
        <v>372</v>
      </c>
    </row>
    <row r="20" spans="5:6" ht="15">
      <c r="E20" s="6" t="s">
        <v>15</v>
      </c>
      <c r="F20" s="4" t="s">
        <v>369</v>
      </c>
    </row>
    <row r="21" ht="15">
      <c r="E21" s="6"/>
    </row>
    <row r="23" spans="1:2" ht="18">
      <c r="A23" s="7"/>
      <c r="B23" s="7"/>
    </row>
    <row r="24" spans="1:2" ht="15">
      <c r="A24" s="17"/>
      <c r="B24" s="17"/>
    </row>
    <row r="25" spans="1:2" ht="14.25">
      <c r="A25" s="19"/>
      <c r="B25" s="20"/>
    </row>
    <row r="26" spans="1:5" ht="15">
      <c r="A26" s="21"/>
      <c r="B26" s="21"/>
      <c r="C26" s="21"/>
      <c r="D26" s="21"/>
      <c r="E26" s="21"/>
    </row>
    <row r="27" spans="1:5" ht="12.75">
      <c r="A27" s="18"/>
      <c r="E27" s="22"/>
    </row>
    <row r="30" spans="1:2" ht="15">
      <c r="A30" s="17"/>
      <c r="B30" s="17"/>
    </row>
    <row r="31" spans="1:2" ht="14.25">
      <c r="A31" s="19"/>
      <c r="B31" s="20"/>
    </row>
    <row r="32" spans="1:5" ht="15">
      <c r="A32" s="21"/>
      <c r="B32" s="21"/>
      <c r="C32" s="21"/>
      <c r="D32" s="21"/>
      <c r="E32" s="21"/>
    </row>
    <row r="33" spans="1:5" ht="12.75">
      <c r="A33" s="18"/>
      <c r="E33" s="22"/>
    </row>
    <row r="34" spans="1:5" ht="12.75">
      <c r="A34" s="18"/>
      <c r="E34" s="22"/>
    </row>
    <row r="36" spans="1:2" ht="14.25">
      <c r="A36" s="19"/>
      <c r="B36" s="20"/>
    </row>
    <row r="37" spans="1:5" ht="15">
      <c r="A37" s="21"/>
      <c r="B37" s="21"/>
      <c r="C37" s="21"/>
      <c r="D37" s="21"/>
      <c r="E37" s="21"/>
    </row>
    <row r="38" spans="1:5" ht="12.75">
      <c r="A38" s="18"/>
      <c r="E38" s="22"/>
    </row>
  </sheetData>
  <sheetProtection/>
  <mergeCells count="11">
    <mergeCell ref="A5:F5"/>
    <mergeCell ref="A8:F8"/>
    <mergeCell ref="A12:F12"/>
    <mergeCell ref="D3:D4"/>
    <mergeCell ref="A1:G2"/>
    <mergeCell ref="A3:A4"/>
    <mergeCell ref="B3:B4"/>
    <mergeCell ref="C3:C4"/>
    <mergeCell ref="G3:G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36" t="s">
        <v>443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s="1" customFormat="1" ht="12.75" customHeight="1">
      <c r="A3" s="42" t="s">
        <v>0</v>
      </c>
      <c r="B3" s="44" t="s">
        <v>8</v>
      </c>
      <c r="C3" s="44" t="s">
        <v>9</v>
      </c>
      <c r="D3" s="46" t="s">
        <v>18</v>
      </c>
      <c r="E3" s="46" t="s">
        <v>6</v>
      </c>
      <c r="F3" s="46" t="s">
        <v>10</v>
      </c>
      <c r="G3" s="46" t="s">
        <v>442</v>
      </c>
      <c r="H3" s="46"/>
      <c r="I3" s="46"/>
      <c r="J3" s="46"/>
      <c r="K3" s="46" t="s">
        <v>441</v>
      </c>
      <c r="L3" s="46"/>
      <c r="M3" s="46"/>
      <c r="N3" s="46"/>
      <c r="O3" s="46" t="s">
        <v>3</v>
      </c>
      <c r="P3" s="46" t="s">
        <v>5</v>
      </c>
      <c r="Q3" s="47" t="s">
        <v>4</v>
      </c>
    </row>
    <row r="4" spans="1:17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5">
        <v>1</v>
      </c>
      <c r="L4" s="5">
        <v>2</v>
      </c>
      <c r="M4" s="5">
        <v>3</v>
      </c>
      <c r="N4" s="5" t="s">
        <v>7</v>
      </c>
      <c r="O4" s="45"/>
      <c r="P4" s="45"/>
      <c r="Q4" s="48"/>
    </row>
    <row r="5" spans="1:16" ht="15">
      <c r="A5" s="34" t="s">
        <v>156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7" ht="12.75">
      <c r="A6" s="8" t="s">
        <v>440</v>
      </c>
      <c r="B6" s="8" t="s">
        <v>439</v>
      </c>
      <c r="C6" s="8" t="s">
        <v>436</v>
      </c>
      <c r="D6" s="8" t="str">
        <f>"0,7418"</f>
        <v>0,7418</v>
      </c>
      <c r="E6" s="8" t="s">
        <v>26</v>
      </c>
      <c r="F6" s="8" t="s">
        <v>27</v>
      </c>
      <c r="G6" s="10" t="s">
        <v>169</v>
      </c>
      <c r="H6" s="9" t="s">
        <v>169</v>
      </c>
      <c r="I6" s="10" t="s">
        <v>433</v>
      </c>
      <c r="J6" s="10"/>
      <c r="K6" s="9" t="s">
        <v>169</v>
      </c>
      <c r="L6" s="9" t="s">
        <v>433</v>
      </c>
      <c r="M6" s="9" t="s">
        <v>152</v>
      </c>
      <c r="N6" s="10"/>
      <c r="O6" s="8" t="str">
        <f>"95,0"</f>
        <v>95,0</v>
      </c>
      <c r="P6" s="9" t="str">
        <f>"74,6993"</f>
        <v>74,6993</v>
      </c>
      <c r="Q6" s="8" t="s">
        <v>35</v>
      </c>
    </row>
    <row r="7" spans="1:17" ht="12.75">
      <c r="A7" s="11" t="s">
        <v>438</v>
      </c>
      <c r="B7" s="11" t="s">
        <v>437</v>
      </c>
      <c r="C7" s="11" t="s">
        <v>436</v>
      </c>
      <c r="D7" s="11" t="str">
        <f>"0,7418"</f>
        <v>0,7418</v>
      </c>
      <c r="E7" s="11" t="s">
        <v>26</v>
      </c>
      <c r="F7" s="11" t="s">
        <v>435</v>
      </c>
      <c r="G7" s="12" t="s">
        <v>169</v>
      </c>
      <c r="H7" s="12" t="s">
        <v>434</v>
      </c>
      <c r="I7" s="12" t="s">
        <v>153</v>
      </c>
      <c r="J7" s="13"/>
      <c r="K7" s="13" t="s">
        <v>433</v>
      </c>
      <c r="L7" s="13" t="s">
        <v>433</v>
      </c>
      <c r="M7" s="13" t="s">
        <v>433</v>
      </c>
      <c r="N7" s="13"/>
      <c r="O7" s="11" t="str">
        <f>"0.00"</f>
        <v>0.00</v>
      </c>
      <c r="P7" s="12" t="str">
        <f>"0,0000"</f>
        <v>0,0000</v>
      </c>
      <c r="Q7" s="11" t="s">
        <v>35</v>
      </c>
    </row>
    <row r="9" spans="1:16" ht="15">
      <c r="A9" s="49" t="s">
        <v>114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7" ht="12.75">
      <c r="A10" s="14" t="s">
        <v>115</v>
      </c>
      <c r="B10" s="14" t="s">
        <v>116</v>
      </c>
      <c r="C10" s="14" t="s">
        <v>117</v>
      </c>
      <c r="D10" s="14" t="str">
        <f>"0,5237"</f>
        <v>0,5237</v>
      </c>
      <c r="E10" s="14" t="s">
        <v>26</v>
      </c>
      <c r="F10" s="14" t="s">
        <v>118</v>
      </c>
      <c r="G10" s="15" t="s">
        <v>77</v>
      </c>
      <c r="H10" s="16" t="s">
        <v>432</v>
      </c>
      <c r="I10" s="15" t="s">
        <v>432</v>
      </c>
      <c r="J10" s="16"/>
      <c r="K10" s="15" t="s">
        <v>129</v>
      </c>
      <c r="L10" s="15" t="s">
        <v>66</v>
      </c>
      <c r="M10" s="15" t="s">
        <v>160</v>
      </c>
      <c r="N10" s="16"/>
      <c r="O10" s="14" t="str">
        <f>"170,0"</f>
        <v>170,0</v>
      </c>
      <c r="P10" s="15" t="str">
        <f>"89,8303"</f>
        <v>89,8303</v>
      </c>
      <c r="Q10" s="14" t="s">
        <v>35</v>
      </c>
    </row>
    <row r="12" spans="5:6" ht="15">
      <c r="E12" s="6" t="s">
        <v>11</v>
      </c>
      <c r="F12" s="4" t="s">
        <v>431</v>
      </c>
    </row>
    <row r="13" spans="5:6" ht="15">
      <c r="E13" s="6" t="s">
        <v>12</v>
      </c>
      <c r="F13" s="4" t="s">
        <v>369</v>
      </c>
    </row>
    <row r="14" spans="5:6" ht="15">
      <c r="E14" s="6" t="s">
        <v>13</v>
      </c>
      <c r="F14" s="4" t="s">
        <v>370</v>
      </c>
    </row>
    <row r="15" spans="5:6" ht="15">
      <c r="E15" s="6" t="s">
        <v>14</v>
      </c>
      <c r="F15" s="4" t="s">
        <v>371</v>
      </c>
    </row>
    <row r="16" spans="5:6" ht="15">
      <c r="E16" s="6" t="s">
        <v>14</v>
      </c>
      <c r="F16" s="4" t="s">
        <v>372</v>
      </c>
    </row>
    <row r="17" spans="5:6" ht="15">
      <c r="E17" s="6" t="s">
        <v>15</v>
      </c>
      <c r="F17" s="4" t="s">
        <v>369</v>
      </c>
    </row>
    <row r="18" ht="15">
      <c r="E18" s="6"/>
    </row>
    <row r="20" spans="1:2" ht="18">
      <c r="A20" s="7"/>
      <c r="B20" s="7"/>
    </row>
    <row r="21" spans="1:2" ht="15">
      <c r="A21" s="17"/>
      <c r="B21" s="17"/>
    </row>
    <row r="22" spans="1:2" ht="14.25">
      <c r="A22" s="19"/>
      <c r="B22" s="20"/>
    </row>
    <row r="23" spans="1:5" ht="15">
      <c r="A23" s="21"/>
      <c r="B23" s="21"/>
      <c r="C23" s="21"/>
      <c r="D23" s="21"/>
      <c r="E23" s="21"/>
    </row>
    <row r="24" spans="1:5" ht="12.75">
      <c r="A24" s="18"/>
      <c r="E24" s="22"/>
    </row>
    <row r="26" spans="1:2" ht="14.25">
      <c r="A26" s="19"/>
      <c r="B26" s="20"/>
    </row>
    <row r="27" spans="1:5" ht="15">
      <c r="A27" s="21"/>
      <c r="B27" s="21"/>
      <c r="C27" s="21"/>
      <c r="D27" s="21"/>
      <c r="E27" s="21"/>
    </row>
    <row r="28" spans="1:5" ht="12.75">
      <c r="A28" s="18"/>
      <c r="E28" s="22"/>
    </row>
  </sheetData>
  <sheetProtection/>
  <mergeCells count="14">
    <mergeCell ref="P3:P4"/>
    <mergeCell ref="Q3:Q4"/>
    <mergeCell ref="A5:P5"/>
    <mergeCell ref="A9:P9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37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6" t="s">
        <v>461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0</v>
      </c>
      <c r="B3" s="44" t="s">
        <v>8</v>
      </c>
      <c r="C3" s="44" t="s">
        <v>9</v>
      </c>
      <c r="D3" s="46" t="s">
        <v>18</v>
      </c>
      <c r="E3" s="46" t="s">
        <v>6</v>
      </c>
      <c r="F3" s="46" t="s">
        <v>10</v>
      </c>
      <c r="G3" s="46" t="s">
        <v>441</v>
      </c>
      <c r="H3" s="46"/>
      <c r="I3" s="46"/>
      <c r="J3" s="46"/>
      <c r="K3" s="46" t="s">
        <v>121</v>
      </c>
      <c r="L3" s="46" t="s">
        <v>5</v>
      </c>
      <c r="M3" s="47" t="s">
        <v>4</v>
      </c>
    </row>
    <row r="4" spans="1:13" s="1" customFormat="1" ht="21" customHeight="1" thickBot="1">
      <c r="A4" s="43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7</v>
      </c>
      <c r="K4" s="45"/>
      <c r="L4" s="45"/>
      <c r="M4" s="48"/>
    </row>
    <row r="5" spans="1:12" ht="15">
      <c r="A5" s="34" t="s">
        <v>156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ht="12.75">
      <c r="A6" s="14" t="s">
        <v>157</v>
      </c>
      <c r="B6" s="14" t="s">
        <v>158</v>
      </c>
      <c r="C6" s="14" t="s">
        <v>159</v>
      </c>
      <c r="D6" s="14" t="str">
        <f>"0,7514"</f>
        <v>0,7514</v>
      </c>
      <c r="E6" s="14" t="s">
        <v>26</v>
      </c>
      <c r="F6" s="14" t="s">
        <v>139</v>
      </c>
      <c r="G6" s="15" t="s">
        <v>449</v>
      </c>
      <c r="H6" s="15" t="s">
        <v>140</v>
      </c>
      <c r="I6" s="15" t="s">
        <v>165</v>
      </c>
      <c r="J6" s="16"/>
      <c r="K6" s="14" t="str">
        <f>"42,5"</f>
        <v>42,5</v>
      </c>
      <c r="L6" s="15" t="str">
        <f>"40,9081"</f>
        <v>40,9081</v>
      </c>
      <c r="M6" s="14" t="s">
        <v>35</v>
      </c>
    </row>
    <row r="8" spans="1:12" ht="15">
      <c r="A8" s="49" t="s">
        <v>60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4" t="s">
        <v>460</v>
      </c>
      <c r="B9" s="14" t="s">
        <v>459</v>
      </c>
      <c r="C9" s="14" t="s">
        <v>458</v>
      </c>
      <c r="D9" s="14" t="str">
        <f>"0,7211"</f>
        <v>0,7211</v>
      </c>
      <c r="E9" s="14" t="s">
        <v>26</v>
      </c>
      <c r="F9" s="14" t="s">
        <v>89</v>
      </c>
      <c r="G9" s="15" t="s">
        <v>433</v>
      </c>
      <c r="H9" s="16" t="s">
        <v>434</v>
      </c>
      <c r="I9" s="16" t="s">
        <v>434</v>
      </c>
      <c r="J9" s="16"/>
      <c r="K9" s="14" t="str">
        <f>"47,5"</f>
        <v>47,5</v>
      </c>
      <c r="L9" s="15" t="str">
        <f>"36,9924"</f>
        <v>36,9924</v>
      </c>
      <c r="M9" s="14" t="s">
        <v>35</v>
      </c>
    </row>
    <row r="11" spans="1:12" ht="15">
      <c r="A11" s="49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8" t="s">
        <v>457</v>
      </c>
      <c r="B12" s="8" t="s">
        <v>456</v>
      </c>
      <c r="C12" s="8" t="s">
        <v>455</v>
      </c>
      <c r="D12" s="8" t="str">
        <f>"0,6290"</f>
        <v>0,6290</v>
      </c>
      <c r="E12" s="8" t="s">
        <v>26</v>
      </c>
      <c r="F12" s="8" t="s">
        <v>454</v>
      </c>
      <c r="G12" s="10" t="s">
        <v>450</v>
      </c>
      <c r="H12" s="9" t="s">
        <v>450</v>
      </c>
      <c r="I12" s="9" t="s">
        <v>160</v>
      </c>
      <c r="J12" s="10"/>
      <c r="K12" s="8" t="str">
        <f>"75,0"</f>
        <v>75,0</v>
      </c>
      <c r="L12" s="9" t="str">
        <f>"48,1185"</f>
        <v>48,1185</v>
      </c>
      <c r="M12" s="8" t="s">
        <v>35</v>
      </c>
    </row>
    <row r="13" spans="1:13" ht="12.75">
      <c r="A13" s="23" t="s">
        <v>453</v>
      </c>
      <c r="B13" s="23" t="s">
        <v>452</v>
      </c>
      <c r="C13" s="23" t="s">
        <v>164</v>
      </c>
      <c r="D13" s="23" t="str">
        <f>"0,6388"</f>
        <v>0,6388</v>
      </c>
      <c r="E13" s="23" t="s">
        <v>26</v>
      </c>
      <c r="F13" s="23" t="s">
        <v>451</v>
      </c>
      <c r="G13" s="25" t="s">
        <v>130</v>
      </c>
      <c r="H13" s="25" t="s">
        <v>66</v>
      </c>
      <c r="I13" s="24" t="s">
        <v>450</v>
      </c>
      <c r="J13" s="24"/>
      <c r="K13" s="23" t="str">
        <f>"70,0"</f>
        <v>70,0</v>
      </c>
      <c r="L13" s="25" t="str">
        <f>"44,7160"</f>
        <v>44,7160</v>
      </c>
      <c r="M13" s="23" t="s">
        <v>35</v>
      </c>
    </row>
    <row r="14" spans="1:13" ht="12.75">
      <c r="A14" s="11" t="s">
        <v>394</v>
      </c>
      <c r="B14" s="11" t="s">
        <v>393</v>
      </c>
      <c r="C14" s="11" t="s">
        <v>392</v>
      </c>
      <c r="D14" s="11" t="str">
        <f>"0,6479"</f>
        <v>0,6479</v>
      </c>
      <c r="E14" s="11" t="s">
        <v>26</v>
      </c>
      <c r="F14" s="11" t="s">
        <v>113</v>
      </c>
      <c r="G14" s="12" t="s">
        <v>141</v>
      </c>
      <c r="H14" s="13" t="s">
        <v>433</v>
      </c>
      <c r="I14" s="13" t="s">
        <v>433</v>
      </c>
      <c r="J14" s="13"/>
      <c r="K14" s="11" t="str">
        <f>"40,0"</f>
        <v>40,0</v>
      </c>
      <c r="L14" s="12" t="str">
        <f>"39,7811"</f>
        <v>39,7811</v>
      </c>
      <c r="M14" s="11" t="s">
        <v>35</v>
      </c>
    </row>
    <row r="16" spans="1:12" ht="15">
      <c r="A16" s="49" t="s">
        <v>42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3" ht="12.75">
      <c r="A17" s="8" t="s">
        <v>188</v>
      </c>
      <c r="B17" s="8" t="s">
        <v>189</v>
      </c>
      <c r="C17" s="8" t="s">
        <v>190</v>
      </c>
      <c r="D17" s="8" t="str">
        <f>"0,5901"</f>
        <v>0,5901</v>
      </c>
      <c r="E17" s="8" t="s">
        <v>26</v>
      </c>
      <c r="F17" s="8" t="s">
        <v>139</v>
      </c>
      <c r="G17" s="9" t="s">
        <v>129</v>
      </c>
      <c r="H17" s="9" t="s">
        <v>66</v>
      </c>
      <c r="I17" s="9" t="s">
        <v>450</v>
      </c>
      <c r="J17" s="10"/>
      <c r="K17" s="8" t="str">
        <f>"72,5"</f>
        <v>72,5</v>
      </c>
      <c r="L17" s="9" t="str">
        <f>"42,7822"</f>
        <v>42,7822</v>
      </c>
      <c r="M17" s="8" t="s">
        <v>35</v>
      </c>
    </row>
    <row r="18" spans="1:13" ht="12.75">
      <c r="A18" s="23" t="s">
        <v>337</v>
      </c>
      <c r="B18" s="23" t="s">
        <v>338</v>
      </c>
      <c r="C18" s="23" t="s">
        <v>339</v>
      </c>
      <c r="D18" s="23" t="str">
        <f>"0,6059"</f>
        <v>0,6059</v>
      </c>
      <c r="E18" s="23" t="s">
        <v>26</v>
      </c>
      <c r="F18" s="23" t="s">
        <v>340</v>
      </c>
      <c r="G18" s="25" t="s">
        <v>449</v>
      </c>
      <c r="H18" s="25" t="s">
        <v>141</v>
      </c>
      <c r="I18" s="24" t="s">
        <v>169</v>
      </c>
      <c r="J18" s="24"/>
      <c r="K18" s="23" t="str">
        <f>"40,0"</f>
        <v>40,0</v>
      </c>
      <c r="L18" s="25" t="str">
        <f>"33,4457"</f>
        <v>33,4457</v>
      </c>
      <c r="M18" s="23" t="s">
        <v>35</v>
      </c>
    </row>
    <row r="19" spans="1:13" ht="12.75">
      <c r="A19" s="11" t="s">
        <v>341</v>
      </c>
      <c r="B19" s="11" t="s">
        <v>342</v>
      </c>
      <c r="C19" s="11" t="s">
        <v>343</v>
      </c>
      <c r="D19" s="11" t="str">
        <f>"0,5956"</f>
        <v>0,5956</v>
      </c>
      <c r="E19" s="11" t="s">
        <v>26</v>
      </c>
      <c r="F19" s="11" t="s">
        <v>340</v>
      </c>
      <c r="G19" s="12" t="s">
        <v>169</v>
      </c>
      <c r="H19" s="12" t="s">
        <v>434</v>
      </c>
      <c r="I19" s="13" t="s">
        <v>153</v>
      </c>
      <c r="J19" s="13"/>
      <c r="K19" s="11" t="str">
        <f>"52,5"</f>
        <v>52,5</v>
      </c>
      <c r="L19" s="12" t="str">
        <f>"51,4375"</f>
        <v>51,4375</v>
      </c>
      <c r="M19" s="11" t="s">
        <v>35</v>
      </c>
    </row>
    <row r="21" spans="1:12" ht="15">
      <c r="A21" s="49" t="s">
        <v>85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3" ht="12.75">
      <c r="A22" s="14" t="s">
        <v>448</v>
      </c>
      <c r="B22" s="14" t="s">
        <v>447</v>
      </c>
      <c r="C22" s="14" t="s">
        <v>446</v>
      </c>
      <c r="D22" s="14" t="str">
        <f>"0,5386"</f>
        <v>0,5386</v>
      </c>
      <c r="E22" s="14" t="s">
        <v>26</v>
      </c>
      <c r="F22" s="14" t="s">
        <v>139</v>
      </c>
      <c r="G22" s="15" t="s">
        <v>66</v>
      </c>
      <c r="H22" s="15" t="s">
        <v>160</v>
      </c>
      <c r="I22" s="16" t="s">
        <v>445</v>
      </c>
      <c r="J22" s="16"/>
      <c r="K22" s="14" t="str">
        <f>"75,0"</f>
        <v>75,0</v>
      </c>
      <c r="L22" s="15" t="str">
        <f>"40,3950"</f>
        <v>40,3950</v>
      </c>
      <c r="M22" s="14" t="s">
        <v>35</v>
      </c>
    </row>
    <row r="24" spans="1:12" ht="15">
      <c r="A24" s="49" t="s">
        <v>114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3" ht="12.75">
      <c r="A25" s="14" t="s">
        <v>115</v>
      </c>
      <c r="B25" s="14" t="s">
        <v>444</v>
      </c>
      <c r="C25" s="14" t="s">
        <v>117</v>
      </c>
      <c r="D25" s="14" t="str">
        <f>"0,5237"</f>
        <v>0,5237</v>
      </c>
      <c r="E25" s="14" t="s">
        <v>26</v>
      </c>
      <c r="F25" s="14" t="s">
        <v>118</v>
      </c>
      <c r="G25" s="15" t="s">
        <v>129</v>
      </c>
      <c r="H25" s="15" t="s">
        <v>66</v>
      </c>
      <c r="I25" s="15" t="s">
        <v>160</v>
      </c>
      <c r="J25" s="16"/>
      <c r="K25" s="14" t="str">
        <f>"75,0"</f>
        <v>75,0</v>
      </c>
      <c r="L25" s="15" t="str">
        <f>"39,2775"</f>
        <v>39,2775</v>
      </c>
      <c r="M25" s="14" t="s">
        <v>35</v>
      </c>
    </row>
    <row r="27" spans="5:6" ht="15">
      <c r="E27" s="6" t="s">
        <v>11</v>
      </c>
      <c r="F27" s="4" t="s">
        <v>368</v>
      </c>
    </row>
    <row r="28" spans="5:6" ht="15">
      <c r="E28" s="6" t="s">
        <v>12</v>
      </c>
      <c r="F28" s="4" t="s">
        <v>369</v>
      </c>
    </row>
    <row r="29" spans="5:6" ht="15">
      <c r="E29" s="6" t="s">
        <v>13</v>
      </c>
      <c r="F29" s="4" t="s">
        <v>370</v>
      </c>
    </row>
    <row r="30" spans="5:6" ht="15">
      <c r="E30" s="6" t="s">
        <v>14</v>
      </c>
      <c r="F30" s="4" t="s">
        <v>371</v>
      </c>
    </row>
    <row r="31" spans="5:6" ht="15">
      <c r="E31" s="6" t="s">
        <v>14</v>
      </c>
      <c r="F31" s="4" t="s">
        <v>372</v>
      </c>
    </row>
    <row r="32" spans="5:6" ht="15">
      <c r="E32" s="6" t="s">
        <v>15</v>
      </c>
      <c r="F32" s="4" t="s">
        <v>369</v>
      </c>
    </row>
    <row r="33" ht="15">
      <c r="E33" s="6"/>
    </row>
    <row r="35" spans="1:2" ht="18">
      <c r="A35" s="7"/>
      <c r="B35" s="7"/>
    </row>
    <row r="36" spans="1:2" ht="15">
      <c r="A36" s="17"/>
      <c r="B36" s="17"/>
    </row>
    <row r="37" spans="1:2" ht="14.25">
      <c r="A37" s="19"/>
      <c r="B37" s="20"/>
    </row>
    <row r="38" spans="1:5" ht="15">
      <c r="A38" s="21"/>
      <c r="B38" s="21"/>
      <c r="C38" s="21"/>
      <c r="D38" s="21"/>
      <c r="E38" s="21"/>
    </row>
    <row r="39" spans="1:5" ht="12.75">
      <c r="A39" s="18"/>
      <c r="E39" s="22"/>
    </row>
    <row r="41" spans="1:2" ht="14.25">
      <c r="A41" s="19"/>
      <c r="B41" s="20"/>
    </row>
    <row r="42" spans="1:5" ht="15">
      <c r="A42" s="21"/>
      <c r="B42" s="21"/>
      <c r="C42" s="21"/>
      <c r="D42" s="21"/>
      <c r="E42" s="21"/>
    </row>
    <row r="43" spans="1:5" ht="12.75">
      <c r="A43" s="18"/>
      <c r="E43" s="22"/>
    </row>
    <row r="45" spans="1:2" ht="14.25">
      <c r="A45" s="19"/>
      <c r="B45" s="20"/>
    </row>
    <row r="46" spans="1:5" ht="15">
      <c r="A46" s="21"/>
      <c r="B46" s="21"/>
      <c r="C46" s="21"/>
      <c r="D46" s="21"/>
      <c r="E46" s="21"/>
    </row>
    <row r="47" spans="1:5" ht="12.75">
      <c r="A47" s="18"/>
      <c r="E47" s="22"/>
    </row>
    <row r="48" spans="1:5" ht="12.75">
      <c r="A48" s="18"/>
      <c r="E48" s="22"/>
    </row>
    <row r="49" spans="1:5" ht="12.75">
      <c r="A49" s="18"/>
      <c r="E49" s="22"/>
    </row>
    <row r="50" spans="1:5" ht="12.75">
      <c r="A50" s="18"/>
      <c r="E50" s="22"/>
    </row>
    <row r="52" spans="1:2" ht="14.25">
      <c r="A52" s="19"/>
      <c r="B52" s="20"/>
    </row>
    <row r="53" spans="1:5" ht="15">
      <c r="A53" s="21"/>
      <c r="B53" s="21"/>
      <c r="C53" s="21"/>
      <c r="D53" s="21"/>
      <c r="E53" s="21"/>
    </row>
    <row r="54" spans="1:5" ht="12.75">
      <c r="A54" s="18"/>
      <c r="E54" s="22"/>
    </row>
    <row r="55" spans="1:5" ht="12.75">
      <c r="A55" s="18"/>
      <c r="E55" s="22"/>
    </row>
    <row r="56" spans="1:5" ht="12.75">
      <c r="A56" s="18"/>
      <c r="E56" s="22"/>
    </row>
    <row r="57" spans="1:5" ht="12.75">
      <c r="A57" s="18"/>
      <c r="E57" s="22"/>
    </row>
  </sheetData>
  <sheetProtection/>
  <mergeCells count="17">
    <mergeCell ref="A16:L16"/>
    <mergeCell ref="A21:L21"/>
    <mergeCell ref="A24:L2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17.25390625" style="4" bestFit="1" customWidth="1"/>
    <col min="7" max="7" width="5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6" t="s">
        <v>384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8</v>
      </c>
      <c r="C3" s="44" t="s">
        <v>9</v>
      </c>
      <c r="D3" s="46" t="s">
        <v>383</v>
      </c>
      <c r="E3" s="46" t="s">
        <v>6</v>
      </c>
      <c r="F3" s="46" t="s">
        <v>10</v>
      </c>
      <c r="G3" s="46" t="s">
        <v>382</v>
      </c>
      <c r="H3" s="46"/>
      <c r="I3" s="46" t="s">
        <v>381</v>
      </c>
      <c r="J3" s="46" t="s">
        <v>5</v>
      </c>
      <c r="K3" s="47" t="s">
        <v>4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5" t="s">
        <v>380</v>
      </c>
      <c r="H4" s="28" t="s">
        <v>379</v>
      </c>
      <c r="I4" s="45"/>
      <c r="J4" s="45"/>
      <c r="K4" s="48"/>
    </row>
    <row r="5" spans="1:10" ht="15">
      <c r="A5" s="34" t="s">
        <v>378</v>
      </c>
      <c r="B5" s="35"/>
      <c r="C5" s="35"/>
      <c r="D5" s="35"/>
      <c r="E5" s="35"/>
      <c r="F5" s="35"/>
      <c r="G5" s="35"/>
      <c r="H5" s="35"/>
      <c r="I5" s="35"/>
      <c r="J5" s="35"/>
    </row>
    <row r="6" spans="1:11" ht="12.75">
      <c r="A6" s="14" t="s">
        <v>188</v>
      </c>
      <c r="B6" s="14" t="s">
        <v>189</v>
      </c>
      <c r="C6" s="14" t="s">
        <v>190</v>
      </c>
      <c r="D6" s="14" t="str">
        <f>"1,0000"</f>
        <v>1,0000</v>
      </c>
      <c r="E6" s="14" t="s">
        <v>26</v>
      </c>
      <c r="F6" s="14" t="s">
        <v>139</v>
      </c>
      <c r="G6" s="15" t="s">
        <v>72</v>
      </c>
      <c r="H6" s="27" t="s">
        <v>377</v>
      </c>
      <c r="I6" s="14" t="str">
        <f>"2200,0"</f>
        <v>2200,0</v>
      </c>
      <c r="J6" s="15" t="str">
        <f>"24,7747"</f>
        <v>24,7747</v>
      </c>
      <c r="K6" s="14" t="s">
        <v>35</v>
      </c>
    </row>
    <row r="8" ht="15">
      <c r="E8" s="6" t="s">
        <v>11</v>
      </c>
    </row>
    <row r="9" ht="15"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14</v>
      </c>
    </row>
    <row r="13" ht="15">
      <c r="E13" s="6" t="s">
        <v>15</v>
      </c>
    </row>
    <row r="14" ht="15">
      <c r="E14" s="6"/>
    </row>
    <row r="16" spans="1:2" ht="18">
      <c r="A16" s="7" t="s">
        <v>16</v>
      </c>
      <c r="B16" s="7"/>
    </row>
    <row r="17" spans="1:2" ht="15">
      <c r="A17" s="17" t="s">
        <v>51</v>
      </c>
      <c r="B17" s="17"/>
    </row>
    <row r="18" spans="1:2" ht="14.25">
      <c r="A18" s="19"/>
      <c r="B18" s="20" t="s">
        <v>105</v>
      </c>
    </row>
    <row r="19" spans="1:5" ht="15">
      <c r="A19" s="21" t="s">
        <v>52</v>
      </c>
      <c r="B19" s="21" t="s">
        <v>53</v>
      </c>
      <c r="C19" s="21" t="s">
        <v>54</v>
      </c>
      <c r="D19" s="21" t="s">
        <v>55</v>
      </c>
      <c r="E19" s="21" t="s">
        <v>376</v>
      </c>
    </row>
    <row r="20" spans="1:5" ht="12.75">
      <c r="A20" s="18" t="s">
        <v>187</v>
      </c>
      <c r="B20" s="4" t="s">
        <v>105</v>
      </c>
      <c r="C20" s="4" t="s">
        <v>375</v>
      </c>
      <c r="D20" s="4" t="s">
        <v>374</v>
      </c>
      <c r="E20" s="22" t="s">
        <v>373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5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6" t="s">
        <v>397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8</v>
      </c>
      <c r="C3" s="44" t="s">
        <v>9</v>
      </c>
      <c r="D3" s="46" t="s">
        <v>383</v>
      </c>
      <c r="E3" s="46" t="s">
        <v>6</v>
      </c>
      <c r="F3" s="46" t="s">
        <v>10</v>
      </c>
      <c r="G3" s="46" t="s">
        <v>382</v>
      </c>
      <c r="H3" s="46"/>
      <c r="I3" s="46" t="s">
        <v>381</v>
      </c>
      <c r="J3" s="46" t="s">
        <v>5</v>
      </c>
      <c r="K3" s="47" t="s">
        <v>4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5" t="s">
        <v>380</v>
      </c>
      <c r="H4" s="28" t="s">
        <v>379</v>
      </c>
      <c r="I4" s="45"/>
      <c r="J4" s="45"/>
      <c r="K4" s="48"/>
    </row>
    <row r="5" spans="1:10" ht="15">
      <c r="A5" s="34" t="s">
        <v>378</v>
      </c>
      <c r="B5" s="35"/>
      <c r="C5" s="35"/>
      <c r="D5" s="35"/>
      <c r="E5" s="35"/>
      <c r="F5" s="35"/>
      <c r="G5" s="35"/>
      <c r="H5" s="35"/>
      <c r="I5" s="35"/>
      <c r="J5" s="35"/>
    </row>
    <row r="6" spans="1:11" ht="12.75">
      <c r="A6" s="8" t="s">
        <v>394</v>
      </c>
      <c r="B6" s="8" t="s">
        <v>396</v>
      </c>
      <c r="C6" s="8" t="s">
        <v>392</v>
      </c>
      <c r="D6" s="8" t="str">
        <f>"1,0000"</f>
        <v>1,0000</v>
      </c>
      <c r="E6" s="8" t="s">
        <v>26</v>
      </c>
      <c r="F6" s="8" t="s">
        <v>113</v>
      </c>
      <c r="G6" s="9" t="s">
        <v>160</v>
      </c>
      <c r="H6" s="31" t="s">
        <v>391</v>
      </c>
      <c r="I6" s="8" t="str">
        <f>"1575,0"</f>
        <v>1575,0</v>
      </c>
      <c r="J6" s="9" t="str">
        <f>"20,3225"</f>
        <v>20,3225</v>
      </c>
      <c r="K6" s="8" t="s">
        <v>35</v>
      </c>
    </row>
    <row r="7" spans="1:11" ht="12.75">
      <c r="A7" s="23" t="s">
        <v>395</v>
      </c>
      <c r="B7" s="23" t="s">
        <v>189</v>
      </c>
      <c r="C7" s="23" t="s">
        <v>190</v>
      </c>
      <c r="D7" s="23" t="str">
        <f>"1,0000"</f>
        <v>1,0000</v>
      </c>
      <c r="E7" s="23" t="s">
        <v>26</v>
      </c>
      <c r="F7" s="23" t="s">
        <v>139</v>
      </c>
      <c r="G7" s="25" t="s">
        <v>72</v>
      </c>
      <c r="H7" s="30"/>
      <c r="I7" s="23" t="str">
        <f>"0.00"</f>
        <v>0.00</v>
      </c>
      <c r="J7" s="25" t="str">
        <f>"0,0000"</f>
        <v>0,0000</v>
      </c>
      <c r="K7" s="23" t="s">
        <v>35</v>
      </c>
    </row>
    <row r="8" spans="1:11" ht="12.75">
      <c r="A8" s="23" t="s">
        <v>394</v>
      </c>
      <c r="B8" s="23" t="s">
        <v>393</v>
      </c>
      <c r="C8" s="23" t="s">
        <v>392</v>
      </c>
      <c r="D8" s="23" t="str">
        <f>"1,0000"</f>
        <v>1,0000</v>
      </c>
      <c r="E8" s="23" t="s">
        <v>26</v>
      </c>
      <c r="F8" s="23" t="s">
        <v>113</v>
      </c>
      <c r="G8" s="25" t="s">
        <v>160</v>
      </c>
      <c r="H8" s="30" t="s">
        <v>391</v>
      </c>
      <c r="I8" s="23" t="str">
        <f>"1575,0"</f>
        <v>1575,0</v>
      </c>
      <c r="J8" s="25" t="str">
        <f>"20,3225"</f>
        <v>20,3225</v>
      </c>
      <c r="K8" s="23" t="s">
        <v>35</v>
      </c>
    </row>
    <row r="9" spans="1:11" ht="12.75">
      <c r="A9" s="11" t="s">
        <v>110</v>
      </c>
      <c r="B9" s="11" t="s">
        <v>111</v>
      </c>
      <c r="C9" s="11" t="s">
        <v>112</v>
      </c>
      <c r="D9" s="11" t="str">
        <f>"1,0000"</f>
        <v>1,0000</v>
      </c>
      <c r="E9" s="11" t="s">
        <v>26</v>
      </c>
      <c r="F9" s="11" t="s">
        <v>113</v>
      </c>
      <c r="G9" s="12" t="s">
        <v>160</v>
      </c>
      <c r="H9" s="29" t="s">
        <v>390</v>
      </c>
      <c r="I9" s="11" t="str">
        <f>"1425,0"</f>
        <v>1425,0</v>
      </c>
      <c r="J9" s="12" t="str">
        <f>"15,9753"</f>
        <v>15,9753</v>
      </c>
      <c r="K9" s="11" t="s">
        <v>35</v>
      </c>
    </row>
    <row r="11" ht="15">
      <c r="E11" s="6" t="s">
        <v>11</v>
      </c>
    </row>
    <row r="12" ht="15">
      <c r="E12" s="6" t="s">
        <v>12</v>
      </c>
    </row>
    <row r="13" ht="15">
      <c r="E13" s="6" t="s">
        <v>13</v>
      </c>
    </row>
    <row r="14" ht="15">
      <c r="E14" s="6" t="s">
        <v>14</v>
      </c>
    </row>
    <row r="15" ht="15">
      <c r="E15" s="6" t="s">
        <v>14</v>
      </c>
    </row>
    <row r="16" ht="15">
      <c r="E16" s="6" t="s">
        <v>15</v>
      </c>
    </row>
    <row r="17" ht="15">
      <c r="E17" s="6"/>
    </row>
    <row r="19" spans="1:2" ht="18">
      <c r="A19" s="7" t="s">
        <v>16</v>
      </c>
      <c r="B19" s="7"/>
    </row>
    <row r="20" spans="1:2" ht="15">
      <c r="A20" s="17" t="s">
        <v>51</v>
      </c>
      <c r="B20" s="17"/>
    </row>
    <row r="21" spans="1:2" ht="14.25">
      <c r="A21" s="19"/>
      <c r="B21" s="20" t="s">
        <v>105</v>
      </c>
    </row>
    <row r="22" spans="1:5" ht="15">
      <c r="A22" s="21" t="s">
        <v>52</v>
      </c>
      <c r="B22" s="21" t="s">
        <v>53</v>
      </c>
      <c r="C22" s="21" t="s">
        <v>54</v>
      </c>
      <c r="D22" s="21" t="s">
        <v>55</v>
      </c>
      <c r="E22" s="21" t="s">
        <v>376</v>
      </c>
    </row>
    <row r="23" spans="1:5" ht="12.75">
      <c r="A23" s="18" t="s">
        <v>389</v>
      </c>
      <c r="B23" s="4" t="s">
        <v>105</v>
      </c>
      <c r="C23" s="4" t="s">
        <v>375</v>
      </c>
      <c r="D23" s="4" t="s">
        <v>388</v>
      </c>
      <c r="E23" s="22" t="s">
        <v>387</v>
      </c>
    </row>
    <row r="25" spans="1:2" ht="14.25">
      <c r="A25" s="19"/>
      <c r="B25" s="20" t="s">
        <v>107</v>
      </c>
    </row>
    <row r="26" spans="1:5" ht="15">
      <c r="A26" s="21" t="s">
        <v>52</v>
      </c>
      <c r="B26" s="21" t="s">
        <v>53</v>
      </c>
      <c r="C26" s="21" t="s">
        <v>54</v>
      </c>
      <c r="D26" s="21" t="s">
        <v>55</v>
      </c>
      <c r="E26" s="21" t="s">
        <v>376</v>
      </c>
    </row>
    <row r="27" spans="1:5" ht="12.75">
      <c r="A27" s="18" t="s">
        <v>389</v>
      </c>
      <c r="B27" s="4" t="s">
        <v>255</v>
      </c>
      <c r="C27" s="4" t="s">
        <v>375</v>
      </c>
      <c r="D27" s="4" t="s">
        <v>388</v>
      </c>
      <c r="E27" s="22" t="s">
        <v>387</v>
      </c>
    </row>
    <row r="28" spans="1:5" ht="12.75">
      <c r="A28" s="18" t="s">
        <v>109</v>
      </c>
      <c r="B28" s="4" t="s">
        <v>119</v>
      </c>
      <c r="C28" s="4" t="s">
        <v>375</v>
      </c>
      <c r="D28" s="4" t="s">
        <v>386</v>
      </c>
      <c r="E28" s="22" t="s">
        <v>385</v>
      </c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7.75390625" style="4" bestFit="1" customWidth="1"/>
    <col min="7" max="7" width="4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6" t="s">
        <v>413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8</v>
      </c>
      <c r="C3" s="44" t="s">
        <v>9</v>
      </c>
      <c r="D3" s="46" t="s">
        <v>383</v>
      </c>
      <c r="E3" s="46" t="s">
        <v>6</v>
      </c>
      <c r="F3" s="46" t="s">
        <v>10</v>
      </c>
      <c r="G3" s="46" t="s">
        <v>382</v>
      </c>
      <c r="H3" s="46"/>
      <c r="I3" s="46" t="s">
        <v>381</v>
      </c>
      <c r="J3" s="46" t="s">
        <v>5</v>
      </c>
      <c r="K3" s="47" t="s">
        <v>4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5" t="s">
        <v>380</v>
      </c>
      <c r="H4" s="28" t="s">
        <v>379</v>
      </c>
      <c r="I4" s="45"/>
      <c r="J4" s="45"/>
      <c r="K4" s="48"/>
    </row>
    <row r="5" spans="1:10" ht="15">
      <c r="A5" s="34" t="s">
        <v>378</v>
      </c>
      <c r="B5" s="35"/>
      <c r="C5" s="35"/>
      <c r="D5" s="35"/>
      <c r="E5" s="35"/>
      <c r="F5" s="35"/>
      <c r="G5" s="35"/>
      <c r="H5" s="35"/>
      <c r="I5" s="35"/>
      <c r="J5" s="35"/>
    </row>
    <row r="6" spans="1:11" ht="12.75">
      <c r="A6" s="8" t="s">
        <v>412</v>
      </c>
      <c r="B6" s="8" t="s">
        <v>411</v>
      </c>
      <c r="C6" s="8" t="s">
        <v>410</v>
      </c>
      <c r="D6" s="8" t="str">
        <f aca="true" t="shared" si="0" ref="D6:D12">"1,0000"</f>
        <v>1,0000</v>
      </c>
      <c r="E6" s="8" t="s">
        <v>26</v>
      </c>
      <c r="F6" s="8" t="s">
        <v>27</v>
      </c>
      <c r="G6" s="9" t="s">
        <v>153</v>
      </c>
      <c r="H6" s="31" t="s">
        <v>409</v>
      </c>
      <c r="I6" s="8" t="str">
        <f>"5390,0"</f>
        <v>5390,0</v>
      </c>
      <c r="J6" s="9" t="str">
        <f>"71,8666"</f>
        <v>71,8666</v>
      </c>
      <c r="K6" s="8" t="s">
        <v>35</v>
      </c>
    </row>
    <row r="7" spans="1:11" ht="12.75">
      <c r="A7" s="23" t="s">
        <v>408</v>
      </c>
      <c r="B7" s="23" t="s">
        <v>396</v>
      </c>
      <c r="C7" s="23" t="s">
        <v>392</v>
      </c>
      <c r="D7" s="23" t="str">
        <f t="shared" si="0"/>
        <v>1,0000</v>
      </c>
      <c r="E7" s="23" t="s">
        <v>26</v>
      </c>
      <c r="F7" s="23" t="s">
        <v>113</v>
      </c>
      <c r="G7" s="25" t="s">
        <v>153</v>
      </c>
      <c r="H7" s="30" t="s">
        <v>402</v>
      </c>
      <c r="I7" s="23" t="str">
        <f>"3905,0"</f>
        <v>3905,0</v>
      </c>
      <c r="J7" s="25" t="str">
        <f>"50,3870"</f>
        <v>50,3870</v>
      </c>
      <c r="K7" s="23" t="s">
        <v>35</v>
      </c>
    </row>
    <row r="8" spans="1:11" ht="12.75">
      <c r="A8" s="23" t="s">
        <v>401</v>
      </c>
      <c r="B8" s="23" t="s">
        <v>400</v>
      </c>
      <c r="C8" s="23" t="s">
        <v>282</v>
      </c>
      <c r="D8" s="23" t="str">
        <f t="shared" si="0"/>
        <v>1,0000</v>
      </c>
      <c r="E8" s="23" t="s">
        <v>26</v>
      </c>
      <c r="F8" s="23" t="s">
        <v>27</v>
      </c>
      <c r="G8" s="25" t="s">
        <v>153</v>
      </c>
      <c r="H8" s="30" t="s">
        <v>399</v>
      </c>
      <c r="I8" s="23" t="str">
        <f>"2860,0"</f>
        <v>2860,0</v>
      </c>
      <c r="J8" s="25" t="str">
        <f>"42,4332"</f>
        <v>42,4332</v>
      </c>
      <c r="K8" s="23" t="s">
        <v>35</v>
      </c>
    </row>
    <row r="9" spans="1:11" ht="12.75">
      <c r="A9" s="23" t="s">
        <v>407</v>
      </c>
      <c r="B9" s="23" t="s">
        <v>406</v>
      </c>
      <c r="C9" s="23" t="s">
        <v>405</v>
      </c>
      <c r="D9" s="23" t="str">
        <f t="shared" si="0"/>
        <v>1,0000</v>
      </c>
      <c r="E9" s="23" t="s">
        <v>26</v>
      </c>
      <c r="F9" s="23" t="s">
        <v>404</v>
      </c>
      <c r="G9" s="25" t="s">
        <v>153</v>
      </c>
      <c r="H9" s="30" t="s">
        <v>403</v>
      </c>
      <c r="I9" s="23" t="str">
        <f>"3135,0"</f>
        <v>3135,0</v>
      </c>
      <c r="J9" s="25" t="str">
        <f>"35,4638"</f>
        <v>35,4638</v>
      </c>
      <c r="K9" s="23" t="s">
        <v>35</v>
      </c>
    </row>
    <row r="10" spans="1:11" ht="12.75">
      <c r="A10" s="23" t="s">
        <v>394</v>
      </c>
      <c r="B10" s="23" t="s">
        <v>393</v>
      </c>
      <c r="C10" s="23" t="s">
        <v>392</v>
      </c>
      <c r="D10" s="23" t="str">
        <f t="shared" si="0"/>
        <v>1,0000</v>
      </c>
      <c r="E10" s="23" t="s">
        <v>26</v>
      </c>
      <c r="F10" s="23" t="s">
        <v>113</v>
      </c>
      <c r="G10" s="25" t="s">
        <v>153</v>
      </c>
      <c r="H10" s="30" t="s">
        <v>402</v>
      </c>
      <c r="I10" s="23" t="str">
        <f>"3905,0"</f>
        <v>3905,0</v>
      </c>
      <c r="J10" s="25" t="str">
        <f>"50,3870"</f>
        <v>50,3870</v>
      </c>
      <c r="K10" s="23" t="s">
        <v>35</v>
      </c>
    </row>
    <row r="11" spans="1:11" ht="12.75">
      <c r="A11" s="11" t="s">
        <v>110</v>
      </c>
      <c r="B11" s="11" t="s">
        <v>111</v>
      </c>
      <c r="C11" s="11" t="s">
        <v>112</v>
      </c>
      <c r="D11" s="11" t="str">
        <f t="shared" si="0"/>
        <v>1,0000</v>
      </c>
      <c r="E11" s="11" t="s">
        <v>26</v>
      </c>
      <c r="F11" s="11" t="s">
        <v>113</v>
      </c>
      <c r="G11" s="12" t="s">
        <v>153</v>
      </c>
      <c r="H11" s="29" t="s">
        <v>169</v>
      </c>
      <c r="I11" s="11" t="str">
        <f>"2475,0"</f>
        <v>2475,0</v>
      </c>
      <c r="J11" s="12" t="str">
        <f>"27,7466"</f>
        <v>27,7466</v>
      </c>
      <c r="K11" s="11" t="s">
        <v>35</v>
      </c>
    </row>
    <row r="12" spans="1:10" ht="12.75">
      <c r="A12" s="23" t="s">
        <v>401</v>
      </c>
      <c r="B12" s="23" t="s">
        <v>400</v>
      </c>
      <c r="C12" s="23" t="s">
        <v>282</v>
      </c>
      <c r="D12" s="23" t="str">
        <f t="shared" si="0"/>
        <v>1,0000</v>
      </c>
      <c r="E12" s="23" t="s">
        <v>26</v>
      </c>
      <c r="F12" s="23" t="s">
        <v>27</v>
      </c>
      <c r="G12" s="25" t="s">
        <v>153</v>
      </c>
      <c r="H12" s="30" t="s">
        <v>399</v>
      </c>
      <c r="I12" s="23" t="str">
        <f>"2860,0"</f>
        <v>2860,0</v>
      </c>
      <c r="J12" s="25" t="str">
        <f>"42,4332"</f>
        <v>42,4332</v>
      </c>
    </row>
    <row r="13" spans="5:6" ht="15">
      <c r="E13" s="6" t="s">
        <v>11</v>
      </c>
      <c r="F13" s="4" t="s">
        <v>368</v>
      </c>
    </row>
    <row r="14" spans="5:6" ht="15">
      <c r="E14" s="6" t="s">
        <v>12</v>
      </c>
      <c r="F14" s="4" t="s">
        <v>398</v>
      </c>
    </row>
    <row r="15" spans="5:6" ht="15">
      <c r="E15" s="6" t="s">
        <v>13</v>
      </c>
      <c r="F15" s="4" t="s">
        <v>370</v>
      </c>
    </row>
    <row r="16" spans="5:6" ht="15">
      <c r="E16" s="6" t="s">
        <v>14</v>
      </c>
      <c r="F16" s="4" t="s">
        <v>371</v>
      </c>
    </row>
    <row r="17" spans="5:6" ht="15">
      <c r="E17" s="6" t="s">
        <v>14</v>
      </c>
      <c r="F17" s="4" t="s">
        <v>372</v>
      </c>
    </row>
    <row r="18" spans="5:6" ht="15">
      <c r="E18" s="6" t="s">
        <v>15</v>
      </c>
      <c r="F18" s="4" t="s">
        <v>369</v>
      </c>
    </row>
    <row r="19" ht="15">
      <c r="E19" s="6"/>
    </row>
    <row r="21" spans="1:2" ht="18">
      <c r="A21" s="7"/>
      <c r="B21" s="7"/>
    </row>
    <row r="22" spans="1:2" ht="15">
      <c r="A22" s="17"/>
      <c r="B22" s="17"/>
    </row>
    <row r="23" spans="1:2" ht="14.25">
      <c r="A23" s="19"/>
      <c r="B23" s="20"/>
    </row>
    <row r="24" spans="1:5" ht="15">
      <c r="A24" s="21"/>
      <c r="B24" s="21"/>
      <c r="C24" s="21"/>
      <c r="D24" s="21"/>
      <c r="E24" s="21"/>
    </row>
    <row r="25" spans="1:5" ht="12.75">
      <c r="A25" s="18"/>
      <c r="E25" s="22"/>
    </row>
    <row r="26" spans="1:5" ht="12.75">
      <c r="A26" s="18"/>
      <c r="E26" s="22"/>
    </row>
    <row r="27" spans="1:5" ht="12.75">
      <c r="A27" s="18"/>
      <c r="E27" s="22"/>
    </row>
    <row r="28" spans="1:5" ht="12.75">
      <c r="A28" s="18"/>
      <c r="E28" s="22"/>
    </row>
    <row r="30" spans="1:2" ht="14.25">
      <c r="A30" s="19"/>
      <c r="B30" s="20"/>
    </row>
    <row r="31" spans="1:5" ht="15">
      <c r="A31" s="21"/>
      <c r="B31" s="21"/>
      <c r="C31" s="21"/>
      <c r="D31" s="21"/>
      <c r="E31" s="21"/>
    </row>
    <row r="32" spans="1:5" ht="12.75">
      <c r="A32" s="18"/>
      <c r="E32" s="22"/>
    </row>
    <row r="33" spans="1:5" ht="12.75">
      <c r="A33" s="18"/>
      <c r="E33" s="22"/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0.25390625" style="4" bestFit="1" customWidth="1"/>
    <col min="7" max="7" width="5.625" style="3" bestFit="1" customWidth="1"/>
    <col min="8" max="8" width="4.625" style="26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6" t="s">
        <v>422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2" customFormat="1" ht="61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1" customFormat="1" ht="12.75" customHeight="1">
      <c r="A3" s="42" t="s">
        <v>0</v>
      </c>
      <c r="B3" s="44" t="s">
        <v>8</v>
      </c>
      <c r="C3" s="44" t="s">
        <v>9</v>
      </c>
      <c r="D3" s="46" t="s">
        <v>383</v>
      </c>
      <c r="E3" s="46" t="s">
        <v>6</v>
      </c>
      <c r="F3" s="46" t="s">
        <v>10</v>
      </c>
      <c r="G3" s="46" t="s">
        <v>382</v>
      </c>
      <c r="H3" s="46"/>
      <c r="I3" s="46" t="s">
        <v>381</v>
      </c>
      <c r="J3" s="46" t="s">
        <v>5</v>
      </c>
      <c r="K3" s="47" t="s">
        <v>4</v>
      </c>
    </row>
    <row r="4" spans="1:11" s="1" customFormat="1" ht="21" customHeight="1" thickBot="1">
      <c r="A4" s="43"/>
      <c r="B4" s="45"/>
      <c r="C4" s="45"/>
      <c r="D4" s="45"/>
      <c r="E4" s="45"/>
      <c r="F4" s="45"/>
      <c r="G4" s="5" t="s">
        <v>380</v>
      </c>
      <c r="H4" s="28" t="s">
        <v>379</v>
      </c>
      <c r="I4" s="45"/>
      <c r="J4" s="45"/>
      <c r="K4" s="48"/>
    </row>
    <row r="5" spans="1:10" ht="15">
      <c r="A5" s="34" t="s">
        <v>378</v>
      </c>
      <c r="B5" s="35"/>
      <c r="C5" s="35"/>
      <c r="D5" s="35"/>
      <c r="E5" s="35"/>
      <c r="F5" s="35"/>
      <c r="G5" s="35"/>
      <c r="H5" s="35"/>
      <c r="I5" s="35"/>
      <c r="J5" s="35"/>
    </row>
    <row r="6" spans="1:11" ht="12.75">
      <c r="A6" s="8" t="s">
        <v>421</v>
      </c>
      <c r="B6" s="8" t="s">
        <v>420</v>
      </c>
      <c r="C6" s="8" t="s">
        <v>419</v>
      </c>
      <c r="D6" s="8" t="str">
        <f>"1,0000"</f>
        <v>1,0000</v>
      </c>
      <c r="E6" s="8" t="s">
        <v>26</v>
      </c>
      <c r="F6" s="8" t="s">
        <v>226</v>
      </c>
      <c r="G6" s="9" t="s">
        <v>72</v>
      </c>
      <c r="H6" s="31" t="s">
        <v>418</v>
      </c>
      <c r="I6" s="8" t="str">
        <f>"3300,0"</f>
        <v>3300,0</v>
      </c>
      <c r="J6" s="9" t="str">
        <f>"28,2051"</f>
        <v>28,2051</v>
      </c>
      <c r="K6" s="8" t="s">
        <v>35</v>
      </c>
    </row>
    <row r="7" spans="1:11" ht="12.75">
      <c r="A7" s="11" t="s">
        <v>417</v>
      </c>
      <c r="B7" s="11" t="s">
        <v>416</v>
      </c>
      <c r="C7" s="11" t="s">
        <v>415</v>
      </c>
      <c r="D7" s="11" t="str">
        <f>"1,0000"</f>
        <v>1,0000</v>
      </c>
      <c r="E7" s="11" t="s">
        <v>26</v>
      </c>
      <c r="F7" s="11" t="s">
        <v>226</v>
      </c>
      <c r="G7" s="12" t="s">
        <v>72</v>
      </c>
      <c r="H7" s="29" t="s">
        <v>414</v>
      </c>
      <c r="I7" s="11" t="str">
        <f>"2600,0"</f>
        <v>2600,0</v>
      </c>
      <c r="J7" s="12" t="str">
        <f>"23,8532"</f>
        <v>23,8532</v>
      </c>
      <c r="K7" s="11" t="s">
        <v>35</v>
      </c>
    </row>
    <row r="9" spans="5:6" ht="15">
      <c r="E9" s="6" t="s">
        <v>11</v>
      </c>
      <c r="F9" s="4" t="s">
        <v>368</v>
      </c>
    </row>
    <row r="10" spans="5:6" ht="15">
      <c r="E10" s="6" t="s">
        <v>12</v>
      </c>
      <c r="F10" s="4" t="s">
        <v>369</v>
      </c>
    </row>
    <row r="11" spans="5:6" ht="15">
      <c r="E11" s="6" t="s">
        <v>13</v>
      </c>
      <c r="F11" s="4" t="s">
        <v>370</v>
      </c>
    </row>
    <row r="12" spans="5:6" ht="15">
      <c r="E12" s="6" t="s">
        <v>14</v>
      </c>
      <c r="F12" s="4" t="s">
        <v>371</v>
      </c>
    </row>
    <row r="13" spans="5:6" ht="15">
      <c r="E13" s="6" t="s">
        <v>14</v>
      </c>
      <c r="F13" s="4" t="s">
        <v>372</v>
      </c>
    </row>
    <row r="14" spans="5:6" ht="15">
      <c r="E14" s="6" t="s">
        <v>15</v>
      </c>
      <c r="F14" s="4" t="s">
        <v>369</v>
      </c>
    </row>
    <row r="15" ht="15">
      <c r="E15" s="6"/>
    </row>
    <row r="17" spans="1:2" ht="18">
      <c r="A17" s="7"/>
      <c r="B17" s="7"/>
    </row>
    <row r="18" spans="1:2" ht="15">
      <c r="A18" s="17"/>
      <c r="B18" s="17"/>
    </row>
    <row r="19" spans="1:2" ht="14.25">
      <c r="A19" s="19"/>
      <c r="B19" s="20"/>
    </row>
    <row r="20" spans="1:5" ht="15">
      <c r="A20" s="21"/>
      <c r="B20" s="21"/>
      <c r="C20" s="21"/>
      <c r="D20" s="21"/>
      <c r="E20" s="21"/>
    </row>
    <row r="21" spans="1:5" ht="12.75">
      <c r="A21" s="18"/>
      <c r="E21" s="22"/>
    </row>
    <row r="23" spans="1:2" ht="14.25">
      <c r="A23" s="19"/>
      <c r="B23" s="20"/>
    </row>
    <row r="24" spans="1:5" ht="15">
      <c r="A24" s="21"/>
      <c r="B24" s="21"/>
      <c r="C24" s="21"/>
      <c r="D24" s="21"/>
      <c r="E24" s="21"/>
    </row>
    <row r="25" spans="1:5" ht="12.75">
      <c r="A25" s="18"/>
      <c r="E25" s="22"/>
    </row>
  </sheetData>
  <sheetProtection/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2020-02-19T15:17:22Z</dcterms:modified>
  <cp:category/>
  <cp:version/>
  <cp:contentType/>
  <cp:contentStatus/>
</cp:coreProperties>
</file>