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Default Extension="vml" ContentType="application/vnd.openxmlformats-officedocument.vmlDrawing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5" windowWidth="11340" windowHeight="9690" firstSheet="17" activeTab="24"/>
  </bookViews>
  <sheets>
    <sheet name="Лист29" sheetId="1" r:id="rId1"/>
    <sheet name="РЖ любители 100 кг." sheetId="2" r:id="rId2"/>
    <sheet name="РЖ любители 75 кг." sheetId="3" r:id="rId3"/>
    <sheet name="РЖ любители 55 кг." sheetId="4" r:id="rId4"/>
    <sheet name="РЖ любители 35 кг." sheetId="5" r:id="rId5"/>
    <sheet name="РЖ Проф 100 кг." sheetId="6" r:id="rId6"/>
    <sheet name="РЖ Проф 75 кг." sheetId="7" r:id="rId7"/>
    <sheet name="18-55-09РЖ Проф 55 кг." sheetId="8" r:id="rId8"/>
    <sheet name="РЖ Проф 55 кг." sheetId="9" r:id="rId9"/>
    <sheet name="Проф. народный жим 1_2 вес" sheetId="10" r:id="rId10"/>
    <sheet name="Проф. народный жим 1 вес" sheetId="11" r:id="rId11"/>
    <sheet name="Люб. народный жим 1_2 вес" sheetId="12" r:id="rId12"/>
    <sheet name="Люб. народный жим 1 вес" sheetId="13" r:id="rId13"/>
    <sheet name="Пауэрспорт Профессионалы" sheetId="14" r:id="rId14"/>
    <sheet name="Пауэрспорт Любители" sheetId="15" r:id="rId15"/>
    <sheet name="Бицепс Профессионалы" sheetId="16" r:id="rId16"/>
    <sheet name="Бицепс Любители" sheetId="17" r:id="rId17"/>
    <sheet name="Двоеборье проф." sheetId="18" r:id="rId18"/>
    <sheet name="Люб. тяга софт экип." sheetId="19" r:id="rId19"/>
    <sheet name="ПРО тяга б.э." sheetId="20" r:id="rId20"/>
    <sheet name="Люб. тяга б.э." sheetId="21" r:id="rId21"/>
    <sheet name="ПРО жим софт экип." sheetId="22" r:id="rId22"/>
    <sheet name="Люб. жим софт экип." sheetId="23" r:id="rId23"/>
    <sheet name="ПРО жим б.э." sheetId="24" r:id="rId24"/>
    <sheet name="Люб. жим б.э." sheetId="25" r:id="rId25"/>
    <sheet name="Люб. жим 1.слой" sheetId="26" r:id="rId26"/>
    <sheet name="Люб. Военный жим" sheetId="27" r:id="rId27"/>
    <sheet name="ПРО ПЛ. б.э." sheetId="28" r:id="rId28"/>
    <sheet name="Люб. ПЛ. б.э." sheetId="29" r:id="rId29"/>
    <sheet name="Жимовое двоеборье" sheetId="30" r:id="rId30"/>
    <sheet name="Русск.тяга люб." sheetId="31" r:id="rId31"/>
  </sheets>
  <definedNames/>
  <calcPr fullCalcOnLoad="1" refMode="R1C1"/>
</workbook>
</file>

<file path=xl/sharedStrings.xml><?xml version="1.0" encoding="utf-8"?>
<sst xmlns="http://schemas.openxmlformats.org/spreadsheetml/2006/main" count="1721" uniqueCount="569">
  <si>
    <t>ФИО</t>
  </si>
  <si>
    <t>Присед</t>
  </si>
  <si>
    <t>Жим</t>
  </si>
  <si>
    <t>Тяга</t>
  </si>
  <si>
    <t>Сумма</t>
  </si>
  <si>
    <t>Тренер</t>
  </si>
  <si>
    <t>Очки</t>
  </si>
  <si>
    <t>Команда</t>
  </si>
  <si>
    <t>Рек</t>
  </si>
  <si>
    <t>Коэф</t>
  </si>
  <si>
    <t>Возрастная группа
Дата рождения/Возраст</t>
  </si>
  <si>
    <t>Собственный 
Вес</t>
  </si>
  <si>
    <t>Город/Область</t>
  </si>
  <si>
    <t>Открытый мастерский турнир по пауэрлифтингу "БЕССМЕРТНЫЙ ПОЛК"
Любители пауэрлифтинг без экипировки
Воронеж/Воронежская область 9 - 10 мая 2019 г.</t>
  </si>
  <si>
    <t>Shv/Mel</t>
  </si>
  <si>
    <t>Приседание</t>
  </si>
  <si>
    <t>Жим лёжа</t>
  </si>
  <si>
    <t>Становая тяга</t>
  </si>
  <si>
    <t>ВЕСОВАЯ КАТЕГОРИЯ   56</t>
  </si>
  <si>
    <t>Кулинченко Дарья</t>
  </si>
  <si>
    <t>1. Кулинченко Дарья</t>
  </si>
  <si>
    <t>Открытая (08.06.1982)/36</t>
  </si>
  <si>
    <t>55,80</t>
  </si>
  <si>
    <t xml:space="preserve">Стальное звено </t>
  </si>
  <si>
    <t xml:space="preserve">Лиски/Воронежская область </t>
  </si>
  <si>
    <t>85,0n</t>
  </si>
  <si>
    <t>90,0n</t>
  </si>
  <si>
    <t>95,0n</t>
  </si>
  <si>
    <t>45,0n</t>
  </si>
  <si>
    <t>47,5</t>
  </si>
  <si>
    <t>110,0n</t>
  </si>
  <si>
    <t>125,0n</t>
  </si>
  <si>
    <t>130,0</t>
  </si>
  <si>
    <t xml:space="preserve">Алексей Алексеевич Мищенко </t>
  </si>
  <si>
    <t>ВЕСОВАЯ КАТЕГОРИЯ   75</t>
  </si>
  <si>
    <t>Рыжов Артем</t>
  </si>
  <si>
    <t>1. Рыжов Артем</t>
  </si>
  <si>
    <t>Юноши 18 - 19 (03.05.2001)/18</t>
  </si>
  <si>
    <t>75,00</t>
  </si>
  <si>
    <t xml:space="preserve">Стая </t>
  </si>
  <si>
    <t xml:space="preserve">Семилуки/Воронежская область </t>
  </si>
  <si>
    <t>135,0</t>
  </si>
  <si>
    <t>140,0</t>
  </si>
  <si>
    <t>95,0</t>
  </si>
  <si>
    <t>105,0</t>
  </si>
  <si>
    <t>145,0</t>
  </si>
  <si>
    <t>150,0</t>
  </si>
  <si>
    <t xml:space="preserve">Наумов Д.А. </t>
  </si>
  <si>
    <t>Главный судья:</t>
  </si>
  <si>
    <t>Главный секретарь:</t>
  </si>
  <si>
    <t>Старший судья:</t>
  </si>
  <si>
    <t>Боковой судья:</t>
  </si>
  <si>
    <t xml:space="preserve">Абсолютный зачёт </t>
  </si>
  <si>
    <t xml:space="preserve">Женщины </t>
  </si>
  <si>
    <t xml:space="preserve">Открытая </t>
  </si>
  <si>
    <t xml:space="preserve">ФИО </t>
  </si>
  <si>
    <t xml:space="preserve">Возрастная группа </t>
  </si>
  <si>
    <t xml:space="preserve">Весовая </t>
  </si>
  <si>
    <t xml:space="preserve">Сумма </t>
  </si>
  <si>
    <t xml:space="preserve">Shv/Mel </t>
  </si>
  <si>
    <t>56</t>
  </si>
  <si>
    <t>265,0</t>
  </si>
  <si>
    <t>242,3823</t>
  </si>
  <si>
    <t xml:space="preserve">Мужчины </t>
  </si>
  <si>
    <t xml:space="preserve">Юноши 18 - 19 </t>
  </si>
  <si>
    <t>75</t>
  </si>
  <si>
    <t>395,0</t>
  </si>
  <si>
    <t>278,2261</t>
  </si>
  <si>
    <t>Открытый мастерский турнир по пауэрлифтингу "БЕССМЕРТНЫЙ ПОЛК"
ПРО пауэрлифтинг без экипировки
Воронеж/Воронежская область 9 - 10 мая 2019 г.</t>
  </si>
  <si>
    <t>ВЕСОВАЯ КАТЕГОРИЯ   82.5</t>
  </si>
  <si>
    <t>Беглов Юрий</t>
  </si>
  <si>
    <t>1. Беглов Юрий</t>
  </si>
  <si>
    <t>Мастера 50 - 54 (06.05.1965)/54</t>
  </si>
  <si>
    <t>80,00</t>
  </si>
  <si>
    <t xml:space="preserve">Воронеж/Воронежская область </t>
  </si>
  <si>
    <t>167,5n</t>
  </si>
  <si>
    <t>182,5n</t>
  </si>
  <si>
    <t>190,0n</t>
  </si>
  <si>
    <t>115,0n</t>
  </si>
  <si>
    <t>120,0n</t>
  </si>
  <si>
    <t>210,0n</t>
  </si>
  <si>
    <t>225,0n</t>
  </si>
  <si>
    <t>235,0n</t>
  </si>
  <si>
    <t xml:space="preserve">Самостоятельно </t>
  </si>
  <si>
    <t xml:space="preserve">Мастера 50 - 54 </t>
  </si>
  <si>
    <t>82.5</t>
  </si>
  <si>
    <t>550,0</t>
  </si>
  <si>
    <t>462,9663</t>
  </si>
  <si>
    <t>Открытый мастерский турнир по пауэрлифтингу "БЕССМЕРТНЫЙ ПОЛК"
Любители военный жим
Воронеж/Воронежская область 9 - 10 мая 2019 г.</t>
  </si>
  <si>
    <t>ВЕСОВАЯ КАТЕГОРИЯ   100</t>
  </si>
  <si>
    <t>Губарев Иван</t>
  </si>
  <si>
    <t>1. Губарев Иван</t>
  </si>
  <si>
    <t>Открытая (31.10.1992)/26</t>
  </si>
  <si>
    <t>98,10</t>
  </si>
  <si>
    <t>135,0n</t>
  </si>
  <si>
    <t>ВЕСОВАЯ КАТЕГОРИЯ   110</t>
  </si>
  <si>
    <t>Дорофеев Александр</t>
  </si>
  <si>
    <t>1. Дорофеев Александр</t>
  </si>
  <si>
    <t>Открытая (26.02.1990)/29</t>
  </si>
  <si>
    <t>108,40</t>
  </si>
  <si>
    <t>150,0n</t>
  </si>
  <si>
    <t>157,5n</t>
  </si>
  <si>
    <t xml:space="preserve">Селявкин Д.В. </t>
  </si>
  <si>
    <t>ВЕСОВАЯ КАТЕГОРИЯ   125</t>
  </si>
  <si>
    <t>Агарков Сергей</t>
  </si>
  <si>
    <t>1. Агарков Сергей</t>
  </si>
  <si>
    <t>Мастера 45 - 49 (02.06.1972)/46</t>
  </si>
  <si>
    <t>122,50</t>
  </si>
  <si>
    <t>130,0n</t>
  </si>
  <si>
    <t>145,0n</t>
  </si>
  <si>
    <t>110</t>
  </si>
  <si>
    <t>157,5</t>
  </si>
  <si>
    <t>84,8138</t>
  </si>
  <si>
    <t>100</t>
  </si>
  <si>
    <t>75,4515</t>
  </si>
  <si>
    <t xml:space="preserve">Мастера 45 - 49 </t>
  </si>
  <si>
    <t>125</t>
  </si>
  <si>
    <t>84,0715</t>
  </si>
  <si>
    <t>Результат</t>
  </si>
  <si>
    <t>Сахиб Али</t>
  </si>
  <si>
    <t xml:space="preserve">Вольные стрелки </t>
  </si>
  <si>
    <t xml:space="preserve">Багдад </t>
  </si>
  <si>
    <t>Открытый мастерский турнир по пауэрлифтингу "БЕССМЕРТНЫЙ ПОЛК"
Любители жим лежа без экипировки
Воронеж/Воронежская область 9 - 10 мая 2019 г.</t>
  </si>
  <si>
    <t>ВЕСОВАЯ КАТЕГОРИЯ   67.5</t>
  </si>
  <si>
    <t>Кретинина Анна</t>
  </si>
  <si>
    <t>1. Кретинина Анна</t>
  </si>
  <si>
    <t>Открытая (27.08.1989)/29</t>
  </si>
  <si>
    <t>66,50</t>
  </si>
  <si>
    <t xml:space="preserve">лично </t>
  </si>
  <si>
    <t>57,5</t>
  </si>
  <si>
    <t>62,5</t>
  </si>
  <si>
    <t>65,0</t>
  </si>
  <si>
    <t xml:space="preserve">И.Н.Дмитриев </t>
  </si>
  <si>
    <t>ВЕСОВАЯ КАТЕГОРИЯ   60</t>
  </si>
  <si>
    <t>1. Сахиб Али</t>
  </si>
  <si>
    <t>Юниоры 20 - 23 (29.07.1996)/22</t>
  </si>
  <si>
    <t>60,00</t>
  </si>
  <si>
    <t>100,0n</t>
  </si>
  <si>
    <t>Кевеян Эдуард</t>
  </si>
  <si>
    <t>1. Кевеян Эдуард</t>
  </si>
  <si>
    <t>Юноши 14-15 (12.02.2004)/15</t>
  </si>
  <si>
    <t>64,70</t>
  </si>
  <si>
    <t>97,5n</t>
  </si>
  <si>
    <t>Иванов Артем</t>
  </si>
  <si>
    <t>1. Иванов Артем</t>
  </si>
  <si>
    <t>Открытая (05.07.1991)/27</t>
  </si>
  <si>
    <t>67,50</t>
  </si>
  <si>
    <t>120,0</t>
  </si>
  <si>
    <t>127,5</t>
  </si>
  <si>
    <t xml:space="preserve">Н.Лапик </t>
  </si>
  <si>
    <t>Дубянский Николай</t>
  </si>
  <si>
    <t>1. Дубянский Николай</t>
  </si>
  <si>
    <t>Юниоры 20 - 23 (16.11.1997)/21</t>
  </si>
  <si>
    <t>73,70</t>
  </si>
  <si>
    <t>117,5</t>
  </si>
  <si>
    <t>Мануковский Егор</t>
  </si>
  <si>
    <t>1. Мануковский Егор</t>
  </si>
  <si>
    <t>Юноши 14-15 (11.06.2004)/14</t>
  </si>
  <si>
    <t>81,40</t>
  </si>
  <si>
    <t>70,0</t>
  </si>
  <si>
    <t>75,0</t>
  </si>
  <si>
    <t xml:space="preserve">Илья Остапенко </t>
  </si>
  <si>
    <t>ВЕСОВАЯ КАТЕГОРИЯ   90</t>
  </si>
  <si>
    <t>Ромадин Иван</t>
  </si>
  <si>
    <t>1. Ромадин Иван</t>
  </si>
  <si>
    <t>Открытая (18.06.1992)/26</t>
  </si>
  <si>
    <t>87,40</t>
  </si>
  <si>
    <t>Лисицин Павел</t>
  </si>
  <si>
    <t>2. Лисицин Павел</t>
  </si>
  <si>
    <t>Открытая (25.12.1979)/39</t>
  </si>
  <si>
    <t>87,50</t>
  </si>
  <si>
    <t>110,0</t>
  </si>
  <si>
    <t>125,0</t>
  </si>
  <si>
    <t xml:space="preserve">Д.В.Гуньков </t>
  </si>
  <si>
    <t>Беняев Алексей</t>
  </si>
  <si>
    <t>1. Беняев Алексей</t>
  </si>
  <si>
    <t>Мастера 40 - 44 (09.06.1974)/44</t>
  </si>
  <si>
    <t>90,00</t>
  </si>
  <si>
    <t>Билиба Владимир</t>
  </si>
  <si>
    <t>1. Билиба Владимир</t>
  </si>
  <si>
    <t>Мастера 55 - 59 (09.09.1962)/56</t>
  </si>
  <si>
    <t>89,90</t>
  </si>
  <si>
    <t xml:space="preserve">Ольховатка/Воронежская </t>
  </si>
  <si>
    <t>Большаков Илья</t>
  </si>
  <si>
    <t>1. Большаков Илья</t>
  </si>
  <si>
    <t>Открытая (31.03.1987)/32</t>
  </si>
  <si>
    <t>93,80</t>
  </si>
  <si>
    <t>162,5n</t>
  </si>
  <si>
    <t>172,5n</t>
  </si>
  <si>
    <t>Горбачев Александр</t>
  </si>
  <si>
    <t>2. Горбачев Александр</t>
  </si>
  <si>
    <t>Открытая (27.04.1988)/31</t>
  </si>
  <si>
    <t>98,40</t>
  </si>
  <si>
    <t xml:space="preserve">Дмитриев/Курская область </t>
  </si>
  <si>
    <t>152,5</t>
  </si>
  <si>
    <t>162,5</t>
  </si>
  <si>
    <t>Панков Андрей</t>
  </si>
  <si>
    <t>3. Панков Андрей</t>
  </si>
  <si>
    <t>Открытая (23.01.1990)/29</t>
  </si>
  <si>
    <t>142,5</t>
  </si>
  <si>
    <t>147,5</t>
  </si>
  <si>
    <t>160,0</t>
  </si>
  <si>
    <t>160,0n</t>
  </si>
  <si>
    <t>Горбанев Юрий</t>
  </si>
  <si>
    <t>2. Горбанев Юрий</t>
  </si>
  <si>
    <t>Открытая (17.08.1981)/37</t>
  </si>
  <si>
    <t>104,60</t>
  </si>
  <si>
    <t>67.5</t>
  </si>
  <si>
    <t>49,3281</t>
  </si>
  <si>
    <t xml:space="preserve">Юноши 14-15 </t>
  </si>
  <si>
    <t>97,5</t>
  </si>
  <si>
    <t>86,8052</t>
  </si>
  <si>
    <t>57,6655</t>
  </si>
  <si>
    <t xml:space="preserve">Юниоры 20 - 23 </t>
  </si>
  <si>
    <t>60</t>
  </si>
  <si>
    <t>115,0</t>
  </si>
  <si>
    <t>94,4067</t>
  </si>
  <si>
    <t>82,4609</t>
  </si>
  <si>
    <t>172,5</t>
  </si>
  <si>
    <t>98,6182</t>
  </si>
  <si>
    <t>92,5395</t>
  </si>
  <si>
    <t>167,5</t>
  </si>
  <si>
    <t>90,1988</t>
  </si>
  <si>
    <t>85,1102</t>
  </si>
  <si>
    <t>90</t>
  </si>
  <si>
    <t>83,4400</t>
  </si>
  <si>
    <t>79,6432</t>
  </si>
  <si>
    <t>77,5770</t>
  </si>
  <si>
    <t>71,4720</t>
  </si>
  <si>
    <t xml:space="preserve">Мастера 40 - 44 </t>
  </si>
  <si>
    <t>70,9047</t>
  </si>
  <si>
    <t xml:space="preserve">Мастера 55 - 59 </t>
  </si>
  <si>
    <t>108,8816</t>
  </si>
  <si>
    <t>Открытый мастерский турнир по пауэрлифтингу "БЕССМЕРТНЫЙ ПОЛК"
ПРО жим лежа без экипировки
Воронеж/Воронежская область 9 - 10 мая 2019 г.</t>
  </si>
  <si>
    <t>1. Лазуренко Ольга</t>
  </si>
  <si>
    <t>Открытая (05.09.1971)/47</t>
  </si>
  <si>
    <t>65,90</t>
  </si>
  <si>
    <t>112,5</t>
  </si>
  <si>
    <t>1. Чурсанов Максим</t>
  </si>
  <si>
    <t>Юниоры 20 - 23 (18.02.1997)/22</t>
  </si>
  <si>
    <t>63,30</t>
  </si>
  <si>
    <t>Открытая (18.02.1997)/22</t>
  </si>
  <si>
    <t>1. Телегин Александр</t>
  </si>
  <si>
    <t>Мастера 60 - 64 (08.12.1957)/61</t>
  </si>
  <si>
    <t>74,20</t>
  </si>
  <si>
    <t xml:space="preserve">Борисоглебск/Воронежская область </t>
  </si>
  <si>
    <t>1. Уланов Максим</t>
  </si>
  <si>
    <t>Открытая (05.03.1987)/32</t>
  </si>
  <si>
    <t>106,10</t>
  </si>
  <si>
    <t xml:space="preserve">Веремянин Юрий </t>
  </si>
  <si>
    <t>ВЕСОВАЯ КАТЕГОРИЯ   140+</t>
  </si>
  <si>
    <t>1. Миляев Дмитрий</t>
  </si>
  <si>
    <t>Открытая (11.06.1993)/25</t>
  </si>
  <si>
    <t>141,20</t>
  </si>
  <si>
    <t xml:space="preserve">Бутурлиновка/Воронежская область </t>
  </si>
  <si>
    <t>215,0n</t>
  </si>
  <si>
    <t>230,0n</t>
  </si>
  <si>
    <t xml:space="preserve">Ю.С. Стребков </t>
  </si>
  <si>
    <t>Открытый мастерский турнир по пауэрлифтингу "БЕССМЕРТНЫЙ ПОЛК"
Любители жим лежа в софт экипировке
Воронеж/Воронежская область 9 - 10 мая 2019 г.</t>
  </si>
  <si>
    <t>82,50</t>
  </si>
  <si>
    <t>Попов Александр</t>
  </si>
  <si>
    <t>1. Попов Александр</t>
  </si>
  <si>
    <t>Открытая (07.05.1987)/32</t>
  </si>
  <si>
    <t xml:space="preserve">Мичуринск/Тамбовская область </t>
  </si>
  <si>
    <t>187,5</t>
  </si>
  <si>
    <t>200,0</t>
  </si>
  <si>
    <t>217,5</t>
  </si>
  <si>
    <t>Горбанев Виталий</t>
  </si>
  <si>
    <t>1. Горбанев Виталий</t>
  </si>
  <si>
    <t>Открытая (28.09.1987)/31</t>
  </si>
  <si>
    <t>100,00</t>
  </si>
  <si>
    <t>190,0</t>
  </si>
  <si>
    <t>202,5</t>
  </si>
  <si>
    <t>117,0600</t>
  </si>
  <si>
    <t>105,2600</t>
  </si>
  <si>
    <t>Открытый мастерский турнир по пауэрлифтингу "БЕССМЕРТНЫЙ ПОЛК"
Любители становая тяга без экипировки
Воронеж/Воронежская область 9 - 10 мая 2019 г.</t>
  </si>
  <si>
    <t>Мешкова Елена</t>
  </si>
  <si>
    <t>1. Мешкова Елена</t>
  </si>
  <si>
    <t>Мастера 45 - 49 (11.09.1973)/45</t>
  </si>
  <si>
    <t>59,70</t>
  </si>
  <si>
    <t xml:space="preserve">Богатырь </t>
  </si>
  <si>
    <t xml:space="preserve">Сергей Шевченко </t>
  </si>
  <si>
    <t>Фоменко Сергей</t>
  </si>
  <si>
    <t>1. Фоменко Сергей</t>
  </si>
  <si>
    <t>Юноши 18 - 19 (06.04.2000)/19</t>
  </si>
  <si>
    <t>82,10</t>
  </si>
  <si>
    <t xml:space="preserve">Новониколаевский/Волгоградская </t>
  </si>
  <si>
    <t>195,0</t>
  </si>
  <si>
    <t>222,5</t>
  </si>
  <si>
    <t xml:space="preserve">С.Г.Фоменко </t>
  </si>
  <si>
    <t>Открытая (06.04.2000)/19</t>
  </si>
  <si>
    <t>Алхенди Самер</t>
  </si>
  <si>
    <t>2. Алхенди Самер</t>
  </si>
  <si>
    <t>Открытая (05.11.1992)/26</t>
  </si>
  <si>
    <t>78,60</t>
  </si>
  <si>
    <t>185,0</t>
  </si>
  <si>
    <t>200,0n</t>
  </si>
  <si>
    <t>114,3313</t>
  </si>
  <si>
    <t>126,8614</t>
  </si>
  <si>
    <t>143,7920</t>
  </si>
  <si>
    <t>138,2615</t>
  </si>
  <si>
    <t>128,2400</t>
  </si>
  <si>
    <t>Открытый мастерский турнир по пауэрлифтингу "БЕССМЕРТНЫЙ ПОЛК"
ПРО становая тяга без экипировки
Воронеж/Воронежская область 9 - 10 мая 2019 г.</t>
  </si>
  <si>
    <t>Шрам Лилия</t>
  </si>
  <si>
    <t>1. Шрам Лилия</t>
  </si>
  <si>
    <t>Открытая (17.06.1991)/27</t>
  </si>
  <si>
    <t>67,00</t>
  </si>
  <si>
    <t>105,0n</t>
  </si>
  <si>
    <t xml:space="preserve">Юрий Беглов </t>
  </si>
  <si>
    <t>Пушкарский Артем</t>
  </si>
  <si>
    <t>1. Пушкарский Артем</t>
  </si>
  <si>
    <t>Открытая (24.02.1988)/31</t>
  </si>
  <si>
    <t xml:space="preserve">Алексеевка/Белгородская область </t>
  </si>
  <si>
    <t>220,0</t>
  </si>
  <si>
    <t>235,0</t>
  </si>
  <si>
    <t>82,3410</t>
  </si>
  <si>
    <t>139,9660</t>
  </si>
  <si>
    <t>Открытый мастерский турнир по пауэрлифтингу "БЕССМЕРТНЫЙ ПОЛК"
Любители становая тяга в софт экипировке
Воронеж/Воронежская область 9 - 10 мая 2019 г.</t>
  </si>
  <si>
    <t>Борщев Владислав</t>
  </si>
  <si>
    <t>1. Борщев Владислав</t>
  </si>
  <si>
    <t>Юноши 16 - 17 (02.06.2001)/17</t>
  </si>
  <si>
    <t>64,50</t>
  </si>
  <si>
    <t xml:space="preserve">Д.Л.Миляев </t>
  </si>
  <si>
    <t xml:space="preserve">Юноши 16 - 17 </t>
  </si>
  <si>
    <t>130,7750</t>
  </si>
  <si>
    <t>Открытый мастерский турнир по пауэрлифтингу ''БЕССМЕРТНЫЙ ПОЛК''
Одиночный подъём штанги на бицепс Любители
Воронеж/Воронежская область 9 - 10 мая 2019 г.</t>
  </si>
  <si>
    <t>Подъем на бицепс</t>
  </si>
  <si>
    <t>Магомедкадиев Мурад</t>
  </si>
  <si>
    <t>1. Магомедкадиев Мурад</t>
  </si>
  <si>
    <t>Юниоры 20 - 23 (13.10.1997)/21</t>
  </si>
  <si>
    <t>66,90</t>
  </si>
  <si>
    <t>52,5</t>
  </si>
  <si>
    <t>60,0</t>
  </si>
  <si>
    <t>Открытая (13.10.1997)/21</t>
  </si>
  <si>
    <t>Аполихин Валерий</t>
  </si>
  <si>
    <t>1. Аполихин Валерий</t>
  </si>
  <si>
    <t>Юниоры 20 - 23 (21.09.1996)/22</t>
  </si>
  <si>
    <t>55,0</t>
  </si>
  <si>
    <t>72,5</t>
  </si>
  <si>
    <t>Тащев Николай</t>
  </si>
  <si>
    <t>1. Тащев Николай</t>
  </si>
  <si>
    <t>Юниоры 20 - 23 (15.10.1998)/20</t>
  </si>
  <si>
    <t>78,80</t>
  </si>
  <si>
    <t>57,5n</t>
  </si>
  <si>
    <t xml:space="preserve">С.Ю.Мальцев </t>
  </si>
  <si>
    <t>3. Тащев Николай</t>
  </si>
  <si>
    <t>Открытая (15.10.1998)/20</t>
  </si>
  <si>
    <t>Шапошник Дмитрий</t>
  </si>
  <si>
    <t>1. Шапошник Дмитрий</t>
  </si>
  <si>
    <t>Открытая (28.01.1980)/39</t>
  </si>
  <si>
    <t>89,20</t>
  </si>
  <si>
    <t xml:space="preserve">Свердловск/Луганская </t>
  </si>
  <si>
    <t>55,0n</t>
  </si>
  <si>
    <t xml:space="preserve">Д.А.Червоненко </t>
  </si>
  <si>
    <t>Чердынцев Сергей</t>
  </si>
  <si>
    <t>1. Чердынцев Сергей</t>
  </si>
  <si>
    <t>Открытая (23.12.1988)/30</t>
  </si>
  <si>
    <t>120,50</t>
  </si>
  <si>
    <t>80,0</t>
  </si>
  <si>
    <t>87,5</t>
  </si>
  <si>
    <t>90,0</t>
  </si>
  <si>
    <t xml:space="preserve">Жук.С.Л. </t>
  </si>
  <si>
    <t>Мальцев Сергей</t>
  </si>
  <si>
    <t>2. Мальцев Сергей</t>
  </si>
  <si>
    <t>Открытая (08.10.1991)/27</t>
  </si>
  <si>
    <t>121,00</t>
  </si>
  <si>
    <t xml:space="preserve"> </t>
  </si>
  <si>
    <t>40,3910</t>
  </si>
  <si>
    <t>44,7800</t>
  </si>
  <si>
    <t>40,6081</t>
  </si>
  <si>
    <t>37,8981</t>
  </si>
  <si>
    <t>46,0687</t>
  </si>
  <si>
    <t>85,0</t>
  </si>
  <si>
    <t>44,7100</t>
  </si>
  <si>
    <t>43,9020</t>
  </si>
  <si>
    <t>38,8375</t>
  </si>
  <si>
    <t>38,4720</t>
  </si>
  <si>
    <t>36,7943</t>
  </si>
  <si>
    <t>32,3675</t>
  </si>
  <si>
    <t>Открытый мастерский турнир по пауэрлифтингу ''БЕССМЕРТНЫЙ ПОЛК''
Одиночный подъём штанги на бицепс Профессионалы
Воронеж/Воронежская область 9 - 10 мая 2019 г.</t>
  </si>
  <si>
    <t>Рамазанов Магомед</t>
  </si>
  <si>
    <t>1. Рамазанов Магомед</t>
  </si>
  <si>
    <t>Открытая (25.11.1993)/25</t>
  </si>
  <si>
    <t>Гончаров Сергей</t>
  </si>
  <si>
    <t>1. Гончаров Сергей</t>
  </si>
  <si>
    <t>Открытая (06.11.1990)/28</t>
  </si>
  <si>
    <t>50,0</t>
  </si>
  <si>
    <t>Коржов Вячеслав</t>
  </si>
  <si>
    <t>1. Коржов Вячеслав</t>
  </si>
  <si>
    <t>Открытая (18.03.1988)/31</t>
  </si>
  <si>
    <t>92,10</t>
  </si>
  <si>
    <t>43,5480</t>
  </si>
  <si>
    <t>40,4250</t>
  </si>
  <si>
    <t>32,5133</t>
  </si>
  <si>
    <t>Открытый мастерский турнир по пауэрлифтингу ''БЕССМЕРТНЫЙ ПОЛК''
Пауэрспорт Любители
Воронеж/Воронежская область 9 - 10 мая 2019 г.</t>
  </si>
  <si>
    <t>Жим стоя</t>
  </si>
  <si>
    <t>Ильина Елена</t>
  </si>
  <si>
    <t>1. Ильина Елена</t>
  </si>
  <si>
    <t xml:space="preserve">РООСФиС </t>
  </si>
  <si>
    <t xml:space="preserve">Санкт-Петербург </t>
  </si>
  <si>
    <t>32,5</t>
  </si>
  <si>
    <t>35,0</t>
  </si>
  <si>
    <t>27,5</t>
  </si>
  <si>
    <t>30,0</t>
  </si>
  <si>
    <t xml:space="preserve">Н.Н.Огрызько </t>
  </si>
  <si>
    <t>Мастера 40 - 44 (05.10.1977)/41</t>
  </si>
  <si>
    <t>Сопов Денис</t>
  </si>
  <si>
    <t>1. Сопов Денис</t>
  </si>
  <si>
    <t>Открытая (15.05.1982)/36</t>
  </si>
  <si>
    <t>88,20</t>
  </si>
  <si>
    <t>77,5</t>
  </si>
  <si>
    <t>Ржевский Денис</t>
  </si>
  <si>
    <t>1. Ржевский Денис</t>
  </si>
  <si>
    <t>Мастера 40 - 44 (24.01.1979)/40</t>
  </si>
  <si>
    <t>89,00</t>
  </si>
  <si>
    <t>82,0</t>
  </si>
  <si>
    <t>82,5</t>
  </si>
  <si>
    <t>53,8062</t>
  </si>
  <si>
    <t>53,9677</t>
  </si>
  <si>
    <t>85,9270</t>
  </si>
  <si>
    <t>82,5020</t>
  </si>
  <si>
    <t>Открытый мастерский турнир по пауэрлифтингу ''БЕССМЕРТНЫЙ ПОЛК''
Пауэрспорт Профессионалы
Воронеж/Воронежская область 9 - 10 мая 2019 г.</t>
  </si>
  <si>
    <t>77,20</t>
  </si>
  <si>
    <t>67,5</t>
  </si>
  <si>
    <t>77,9760</t>
  </si>
  <si>
    <t>НАП Н.Ж.</t>
  </si>
  <si>
    <t>Народный жим</t>
  </si>
  <si>
    <t>Макагонов Артем</t>
  </si>
  <si>
    <t>1. Макагонов Артем</t>
  </si>
  <si>
    <t>Юниоры 20 - 23 (01.08.1998)/20</t>
  </si>
  <si>
    <t>81,30</t>
  </si>
  <si>
    <t>23,0</t>
  </si>
  <si>
    <t>21,0</t>
  </si>
  <si>
    <t xml:space="preserve">НАП Н.Ж. </t>
  </si>
  <si>
    <t>1897,5</t>
  </si>
  <si>
    <t>1456,3312</t>
  </si>
  <si>
    <t>1890,0</t>
  </si>
  <si>
    <t>1376,4870</t>
  </si>
  <si>
    <t>Жим мн. повт.</t>
  </si>
  <si>
    <t>Вес</t>
  </si>
  <si>
    <t>Повторы</t>
  </si>
  <si>
    <t>Тоннаж</t>
  </si>
  <si>
    <t>ВЕСОВАЯ КАТЕГОРИЯ   52</t>
  </si>
  <si>
    <t>Пономарев Матвей</t>
  </si>
  <si>
    <t>1. Пономарев Матвей</t>
  </si>
  <si>
    <t>Юноши 0-13 (31.01.2013)/6</t>
  </si>
  <si>
    <t>26,60</t>
  </si>
  <si>
    <t>15,0</t>
  </si>
  <si>
    <t>132,0</t>
  </si>
  <si>
    <t xml:space="preserve">С.Рубцов </t>
  </si>
  <si>
    <t xml:space="preserve">Юноши 0-13 </t>
  </si>
  <si>
    <t>52</t>
  </si>
  <si>
    <t>1980,0</t>
  </si>
  <si>
    <t>3870,7021</t>
  </si>
  <si>
    <t>92,5</t>
  </si>
  <si>
    <t>25,0</t>
  </si>
  <si>
    <t>2312,5</t>
  </si>
  <si>
    <t>1661,7624</t>
  </si>
  <si>
    <t>2012,5</t>
  </si>
  <si>
    <t>1477,3762</t>
  </si>
  <si>
    <t>Открытый мастерский турнир по пауэрлифтингу "БЕССМЕРТНЫЙ ПОЛК'
Русский жим профессионалы 55 кг.
Воронеж/Воронежская область 9 - 10 мая 2019 г.</t>
  </si>
  <si>
    <t>Атлетизм</t>
  </si>
  <si>
    <t>ВЕСОВАЯ КАТЕГОРИЯ   All</t>
  </si>
  <si>
    <t>Рубцов Сергей</t>
  </si>
  <si>
    <t>1. Рубцов Сергей</t>
  </si>
  <si>
    <t>Мастера 50 - 59 (24.06.1961)/57</t>
  </si>
  <si>
    <t>89,30</t>
  </si>
  <si>
    <t>96,0</t>
  </si>
  <si>
    <t xml:space="preserve">А.Голованов </t>
  </si>
  <si>
    <t>Борзиков Александр</t>
  </si>
  <si>
    <t>2. Борзиков Александр</t>
  </si>
  <si>
    <t>Мастера 50 - 59 (08.05.1964)/55</t>
  </si>
  <si>
    <t>92,80</t>
  </si>
  <si>
    <t>44,0</t>
  </si>
  <si>
    <t xml:space="preserve">Мастера 50 - 59 </t>
  </si>
  <si>
    <t xml:space="preserve">Атлетизм </t>
  </si>
  <si>
    <t>All</t>
  </si>
  <si>
    <t>5280,0</t>
  </si>
  <si>
    <t>59,1265</t>
  </si>
  <si>
    <t>2420,0</t>
  </si>
  <si>
    <t>26,0775</t>
  </si>
  <si>
    <t>Открытый мастерский турнир по пауэрлифтингу "БЕССМЕРТНЫЙ ПОЛК'
Русский жим профессионалы 75 кг.
Воронеж/Воронежская область 9 - 10 мая 2019 г.</t>
  </si>
  <si>
    <t>Киян Андрей</t>
  </si>
  <si>
    <t>1. Киян Андрей</t>
  </si>
  <si>
    <t>Мастера 40 - 44 (17.06.1974)/44</t>
  </si>
  <si>
    <t>96,10</t>
  </si>
  <si>
    <t>75,0n</t>
  </si>
  <si>
    <t>52,0</t>
  </si>
  <si>
    <t>3900,0</t>
  </si>
  <si>
    <t>40,5827</t>
  </si>
  <si>
    <t>Открытый мастерский турнир по пауэрлифтингу "БЕССМЕРТНЫЙ ПОЛК'
Русский жим любители 55 кг.
Воронеж/Воронежская область 9 - 10 мая 2019 г.</t>
  </si>
  <si>
    <t>1. Санников Александр</t>
  </si>
  <si>
    <t>Открытая (24.04.1981)/38</t>
  </si>
  <si>
    <t>90,40</t>
  </si>
  <si>
    <t>58,0n</t>
  </si>
  <si>
    <t>-. Селиверстов Павел</t>
  </si>
  <si>
    <t>Открытая (14.06.1980)/38</t>
  </si>
  <si>
    <t>80,30</t>
  </si>
  <si>
    <t>5,0</t>
  </si>
  <si>
    <t xml:space="preserve">Д.Гуньков </t>
  </si>
  <si>
    <t>Мастера 40 - 49 (02.06.1972)/46</t>
  </si>
  <si>
    <t>81,0</t>
  </si>
  <si>
    <t>59,20</t>
  </si>
  <si>
    <t>Открытый мастерский турнир по пауэрлифтингу "БЕССМЕРТНЫЙ ПОЛК'
Русский жим любители 100 кг.
Воронеж/Воронежская область 9 - 10 мая 2019 г.</t>
  </si>
  <si>
    <t>100,0</t>
  </si>
  <si>
    <t>26,0n</t>
  </si>
  <si>
    <t>1. Любивый Дмитрий</t>
  </si>
  <si>
    <t>Главный судья: Толстых.В.И.</t>
  </si>
  <si>
    <t>Гусева Л.Н.</t>
  </si>
  <si>
    <t>Беглов Ю.М</t>
  </si>
  <si>
    <t>Капачев А</t>
  </si>
  <si>
    <t>Главный судья: Толстых В.И.</t>
  </si>
  <si>
    <t>Старший судья: Беглов Ю.М.</t>
  </si>
  <si>
    <t>Боковой судья: Капачев А.А.</t>
  </si>
  <si>
    <t>Боковой судья: Гурный Н.</t>
  </si>
  <si>
    <t>Главный судья:Толстых В.И.</t>
  </si>
  <si>
    <t>Боковой судья: Гурный Н.Е.</t>
  </si>
  <si>
    <t>Боковой судья: Лазуренко О.В.</t>
  </si>
  <si>
    <t>Старший судья:    Гурный  Н.Е.</t>
  </si>
  <si>
    <t>Главный секретарь: Гусева Л.Н.</t>
  </si>
  <si>
    <t>Старший судья: Капа</t>
  </si>
  <si>
    <t>чев А.А.</t>
  </si>
  <si>
    <t>Боковой судья: Беглов Ю.М.</t>
  </si>
  <si>
    <t>Капачев А.А.</t>
  </si>
  <si>
    <t>Гурный Н.Е.</t>
  </si>
  <si>
    <t>Беглов Ю.М.</t>
  </si>
  <si>
    <t>Толстых В.И.</t>
  </si>
  <si>
    <t>Открытый мастерский турнир по пауэрлифтингу ''БЕССМЕРТНЫЙ ПОЛК''
Профессионалы народный жим (1 вес)
Воронеж/Воронежская область 9 - 10 мая 2019 г.</t>
  </si>
  <si>
    <t>Открытый мастерский турнир по пауэрлифтингу ''БЕССМЕРТНЫЙ ПОЛК''
Любители народный жим (1/2 вес)
Воронеж/Воронежская область 9 - 10 мая 2019 г.</t>
  </si>
  <si>
    <t>Открытый мастерский турнир по пауэрлифтингу ''БЕССМЕРТНЫЙ ПОЛК''
Любители народный жим (1 вес)
Воронеж/Воронежская область 9 - 10 мая 2019 г.</t>
  </si>
  <si>
    <t>Солохин Олег</t>
  </si>
  <si>
    <t>89.8</t>
  </si>
  <si>
    <t>33</t>
  </si>
  <si>
    <t>Дмитриев Игорь</t>
  </si>
  <si>
    <t>мастера 18.11.1973/46</t>
  </si>
  <si>
    <t>стальное звено</t>
  </si>
  <si>
    <t>Воронеж</t>
  </si>
  <si>
    <t>220.0</t>
  </si>
  <si>
    <t>235.0</t>
  </si>
  <si>
    <t>240.0</t>
  </si>
  <si>
    <t>147.5</t>
  </si>
  <si>
    <t>18</t>
  </si>
  <si>
    <t>открытая 14.06.1985</t>
  </si>
  <si>
    <t xml:space="preserve">         147.1</t>
  </si>
  <si>
    <t>вольные стрелки</t>
  </si>
  <si>
    <t>165.0</t>
  </si>
  <si>
    <t>172.5</t>
  </si>
  <si>
    <t>175.0</t>
  </si>
  <si>
    <t>Открытый мастерский турнир по пауэрлифтингу "БЕССМЕРТНЫЙ ПОЛК"
Жимовое двоеборье.ПРО Воронеж/Воронежская область 9 - 10 мая 2019 г.</t>
  </si>
  <si>
    <t>258</t>
  </si>
  <si>
    <r>
      <rPr>
        <sz val="10"/>
        <rFont val="Arial Cyr"/>
        <family val="0"/>
      </rPr>
      <t>самост</t>
    </r>
    <r>
      <rPr>
        <i/>
        <sz val="12"/>
        <rFont val="Arial Cyr"/>
        <family val="0"/>
      </rPr>
      <t>.</t>
    </r>
  </si>
  <si>
    <t>208</t>
  </si>
  <si>
    <t>Открытый мастерский турнир по пауэрлифтингу "БЕССМЕРТНЫЙ ПОЛК"
Русская тяга Любители Воронеж/Воронежская область 9 - 10 мая 2019 г.</t>
  </si>
  <si>
    <t>Гуньков Дмитрий</t>
  </si>
  <si>
    <t>мастера  40-44 06.09.1976/42</t>
  </si>
  <si>
    <t>71.6</t>
  </si>
  <si>
    <t>лично</t>
  </si>
  <si>
    <t>Лиски/Ворон.обл</t>
  </si>
  <si>
    <t>Русская становая тяга</t>
  </si>
  <si>
    <t>Козлов Вадим</t>
  </si>
  <si>
    <t>юниоры 20-23 28.08.1996/22</t>
  </si>
  <si>
    <t xml:space="preserve">      93.6</t>
  </si>
  <si>
    <t>47</t>
  </si>
  <si>
    <t>4700</t>
  </si>
  <si>
    <t>самост.</t>
  </si>
  <si>
    <t>150</t>
  </si>
  <si>
    <t>14</t>
  </si>
  <si>
    <t>2100</t>
  </si>
  <si>
    <t>Мастера(СОВ) 40 - 44 (01.02.1976)/43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</si>
</sst>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3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1"/>
      <name val="Arial Cyr"/>
      <family val="0"/>
    </font>
    <font>
      <b/>
      <sz val="24"/>
      <name val="Arial Cyr"/>
      <family val="0"/>
    </font>
    <font>
      <sz val="12"/>
      <name val="Arial Cyr"/>
      <family val="0"/>
    </font>
    <font>
      <i/>
      <sz val="12"/>
      <name val="Arial Cyr"/>
      <family val="0"/>
    </font>
    <font>
      <strike/>
      <sz val="10"/>
      <name val="Arial Cyr"/>
      <family val="0"/>
    </font>
    <font>
      <sz val="14"/>
      <name val="Arial Cyr"/>
      <family val="0"/>
    </font>
    <font>
      <i/>
      <sz val="11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/>
      <right/>
      <top style="medium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8">
    <xf numFmtId="0" fontId="0" fillId="0" borderId="0" xfId="0" applyAlignment="1">
      <alignment/>
    </xf>
    <xf numFmtId="49" fontId="3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left"/>
    </xf>
    <xf numFmtId="49" fontId="0" fillId="0" borderId="11" xfId="0" applyNumberFormat="1" applyFont="1" applyFill="1" applyBorder="1" applyAlignment="1">
      <alignment horizontal="center"/>
    </xf>
    <xf numFmtId="49" fontId="7" fillId="0" borderId="11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left"/>
    </xf>
    <xf numFmtId="49" fontId="8" fillId="0" borderId="0" xfId="0" applyNumberFormat="1" applyFont="1" applyFill="1" applyBorder="1" applyAlignment="1">
      <alignment horizontal="left"/>
    </xf>
    <xf numFmtId="49" fontId="6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 indent="1"/>
    </xf>
    <xf numFmtId="49" fontId="9" fillId="0" borderId="0" xfId="0" applyNumberFormat="1" applyFont="1" applyFill="1" applyBorder="1" applyAlignment="1">
      <alignment horizontal="left" indent="1"/>
    </xf>
    <xf numFmtId="49" fontId="9" fillId="0" borderId="0" xfId="0" applyNumberFormat="1" applyFont="1" applyFill="1" applyBorder="1" applyAlignment="1">
      <alignment horizontal="left"/>
    </xf>
    <xf numFmtId="49" fontId="3" fillId="0" borderId="11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/>
    </xf>
    <xf numFmtId="49" fontId="0" fillId="0" borderId="12" xfId="0" applyNumberFormat="1" applyFont="1" applyFill="1" applyBorder="1" applyAlignment="1">
      <alignment horizontal="left"/>
    </xf>
    <xf numFmtId="49" fontId="7" fillId="0" borderId="12" xfId="0" applyNumberFormat="1" applyFont="1" applyFill="1" applyBorder="1" applyAlignment="1">
      <alignment horizontal="center"/>
    </xf>
    <xf numFmtId="49" fontId="0" fillId="0" borderId="12" xfId="0" applyNumberFormat="1" applyFont="1" applyFill="1" applyBorder="1" applyAlignment="1">
      <alignment horizontal="center"/>
    </xf>
    <xf numFmtId="49" fontId="0" fillId="0" borderId="13" xfId="0" applyNumberFormat="1" applyFont="1" applyFill="1" applyBorder="1" applyAlignment="1">
      <alignment horizontal="left"/>
    </xf>
    <xf numFmtId="49" fontId="7" fillId="0" borderId="13" xfId="0" applyNumberFormat="1" applyFont="1" applyFill="1" applyBorder="1" applyAlignment="1">
      <alignment horizontal="center"/>
    </xf>
    <xf numFmtId="49" fontId="0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left"/>
    </xf>
    <xf numFmtId="49" fontId="7" fillId="0" borderId="14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 vertical="center"/>
    </xf>
    <xf numFmtId="1" fontId="0" fillId="0" borderId="11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" fontId="0" fillId="0" borderId="12" xfId="0" applyNumberFormat="1" applyFont="1" applyFill="1" applyBorder="1" applyAlignment="1">
      <alignment horizontal="center"/>
    </xf>
    <xf numFmtId="1" fontId="0" fillId="0" borderId="13" xfId="0" applyNumberFormat="1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 horizontal="center"/>
    </xf>
    <xf numFmtId="49" fontId="0" fillId="0" borderId="13" xfId="0" applyNumberFormat="1" applyFill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49" fontId="6" fillId="0" borderId="0" xfId="0" applyNumberFormat="1" applyFon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0" fontId="3" fillId="0" borderId="15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/>
    </xf>
    <xf numFmtId="49" fontId="4" fillId="0" borderId="21" xfId="0" applyNumberFormat="1" applyFont="1" applyFill="1" applyBorder="1" applyAlignment="1">
      <alignment horizontal="center" vertical="center"/>
    </xf>
    <xf numFmtId="49" fontId="4" fillId="0" borderId="22" xfId="0" applyNumberFormat="1" applyFont="1" applyFill="1" applyBorder="1" applyAlignment="1">
      <alignment horizontal="center" vertical="center"/>
    </xf>
    <xf numFmtId="49" fontId="4" fillId="0" borderId="23" xfId="0" applyNumberFormat="1" applyFont="1" applyFill="1" applyBorder="1" applyAlignment="1">
      <alignment horizontal="center" vertical="center"/>
    </xf>
    <xf numFmtId="49" fontId="3" fillId="0" borderId="24" xfId="0" applyNumberFormat="1" applyFont="1" applyFill="1" applyBorder="1" applyAlignment="1">
      <alignment horizontal="center" vertical="center"/>
    </xf>
    <xf numFmtId="49" fontId="3" fillId="0" borderId="25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/>
    </xf>
    <xf numFmtId="49" fontId="4" fillId="0" borderId="18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/>
    </xf>
    <xf numFmtId="49" fontId="6" fillId="0" borderId="26" xfId="0" applyNumberFormat="1" applyFont="1" applyFill="1" applyBorder="1" applyAlignment="1">
      <alignment horizontal="center"/>
    </xf>
    <xf numFmtId="49" fontId="6" fillId="0" borderId="27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5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"/>
  <sheetViews>
    <sheetView zoomScalePageLayoutView="0" workbookViewId="0" topLeftCell="C1">
      <selection activeCell="A28" sqref="A28:IV28"/>
    </sheetView>
  </sheetViews>
  <sheetFormatPr defaultColWidth="9.00390625" defaultRowHeight="12.75"/>
  <cols>
    <col min="1" max="1" width="25.875" style="4" bestFit="1" customWidth="1"/>
    <col min="2" max="2" width="27.875" style="4" customWidth="1"/>
    <col min="3" max="3" width="10.00390625" style="4" customWidth="1"/>
    <col min="4" max="4" width="6.625" style="5" bestFit="1" customWidth="1"/>
    <col min="5" max="5" width="23.75390625" style="4" bestFit="1" customWidth="1"/>
    <col min="6" max="6" width="21.125" style="4" bestFit="1" customWidth="1"/>
    <col min="7" max="7" width="5.625" style="3" bestFit="1" customWidth="1"/>
    <col min="8" max="8" width="7.00390625" style="3" customWidth="1"/>
    <col min="9" max="9" width="6.25390625" style="3" bestFit="1" customWidth="1"/>
    <col min="10" max="10" width="5.625" style="3" bestFit="1" customWidth="1"/>
    <col min="11" max="13" width="7.00390625" style="3" bestFit="1" customWidth="1"/>
    <col min="14" max="14" width="5.625" style="3" bestFit="1" customWidth="1"/>
    <col min="15" max="16" width="7.00390625" style="3" bestFit="1" customWidth="1"/>
    <col min="17" max="17" width="6.25390625" style="3" bestFit="1" customWidth="1"/>
    <col min="18" max="18" width="5.625" style="3" bestFit="1" customWidth="1"/>
    <col min="19" max="19" width="7.875" style="5" bestFit="1" customWidth="1"/>
    <col min="20" max="20" width="8.625" style="6" bestFit="1" customWidth="1"/>
    <col min="21" max="21" width="23.00390625" style="4" bestFit="1" customWidth="1"/>
    <col min="22" max="16384" width="9.125" style="3" customWidth="1"/>
  </cols>
  <sheetData>
    <row r="1" spans="1:21" s="2" customFormat="1" ht="15" customHeight="1">
      <c r="A1" s="42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4"/>
    </row>
    <row r="2" spans="1:21" s="2" customFormat="1" ht="66" customHeight="1" thickBot="1">
      <c r="A2" s="45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7"/>
    </row>
    <row r="3" spans="1:21" s="1" customFormat="1" ht="12.75" customHeight="1">
      <c r="A3" s="48" t="s">
        <v>0</v>
      </c>
      <c r="B3" s="50" t="s">
        <v>10</v>
      </c>
      <c r="C3" s="50" t="s">
        <v>11</v>
      </c>
      <c r="D3" s="38" t="s">
        <v>9</v>
      </c>
      <c r="E3" s="52" t="s">
        <v>7</v>
      </c>
      <c r="F3" s="52" t="s">
        <v>12</v>
      </c>
      <c r="G3" s="52" t="s">
        <v>1</v>
      </c>
      <c r="H3" s="52"/>
      <c r="I3" s="52"/>
      <c r="J3" s="52"/>
      <c r="K3" s="52" t="s">
        <v>2</v>
      </c>
      <c r="L3" s="52"/>
      <c r="M3" s="52"/>
      <c r="N3" s="52"/>
      <c r="O3" s="52" t="s">
        <v>3</v>
      </c>
      <c r="P3" s="52"/>
      <c r="Q3" s="52"/>
      <c r="R3" s="52"/>
      <c r="S3" s="38" t="s">
        <v>4</v>
      </c>
      <c r="T3" s="38" t="s">
        <v>6</v>
      </c>
      <c r="U3" s="40" t="s">
        <v>5</v>
      </c>
    </row>
    <row r="4" spans="1:21" s="1" customFormat="1" ht="21" customHeight="1" thickBot="1">
      <c r="A4" s="49"/>
      <c r="B4" s="51"/>
      <c r="C4" s="51"/>
      <c r="D4" s="39"/>
      <c r="E4" s="51"/>
      <c r="F4" s="51"/>
      <c r="G4" s="7">
        <v>1</v>
      </c>
      <c r="H4" s="7">
        <v>2</v>
      </c>
      <c r="I4" s="7">
        <v>3</v>
      </c>
      <c r="J4" s="7" t="s">
        <v>8</v>
      </c>
      <c r="K4" s="7">
        <v>1</v>
      </c>
      <c r="L4" s="7">
        <v>2</v>
      </c>
      <c r="M4" s="7">
        <v>3</v>
      </c>
      <c r="N4" s="7" t="s">
        <v>8</v>
      </c>
      <c r="O4" s="7">
        <v>1</v>
      </c>
      <c r="P4" s="7">
        <v>2</v>
      </c>
      <c r="Q4" s="7">
        <v>3</v>
      </c>
      <c r="R4" s="7" t="s">
        <v>8</v>
      </c>
      <c r="S4" s="39"/>
      <c r="T4" s="39"/>
      <c r="U4" s="41"/>
    </row>
  </sheetData>
  <sheetProtection/>
  <mergeCells count="13">
    <mergeCell ref="S3:S4"/>
    <mergeCell ref="T3:T4"/>
    <mergeCell ref="U3:U4"/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5:K15"/>
  <sheetViews>
    <sheetView zoomScalePageLayoutView="0" workbookViewId="0" topLeftCell="A1">
      <selection activeCell="D15" sqref="A1:K15"/>
    </sheetView>
  </sheetViews>
  <sheetFormatPr defaultColWidth="9.00390625" defaultRowHeight="12.75"/>
  <cols>
    <col min="1" max="1" width="26.00390625" style="4" bestFit="1" customWidth="1"/>
    <col min="2" max="2" width="26.25390625" style="4" bestFit="1" customWidth="1"/>
    <col min="3" max="3" width="9.75390625" style="4" bestFit="1" customWidth="1"/>
    <col min="4" max="4" width="6.625" style="4" bestFit="1" customWidth="1"/>
    <col min="5" max="5" width="22.75390625" style="4" bestFit="1" customWidth="1"/>
    <col min="6" max="6" width="17.25390625" style="4" bestFit="1" customWidth="1"/>
    <col min="7" max="7" width="2.125" style="3" bestFit="1" customWidth="1"/>
    <col min="8" max="8" width="2.125" style="30" bestFit="1" customWidth="1"/>
    <col min="9" max="9" width="7.875" style="4" bestFit="1" customWidth="1"/>
    <col min="10" max="10" width="6.375" style="3" bestFit="1" customWidth="1"/>
    <col min="11" max="11" width="8.875" style="4" bestFit="1" customWidth="1"/>
    <col min="12" max="16384" width="9.125" style="3" customWidth="1"/>
  </cols>
  <sheetData>
    <row r="1" s="2" customFormat="1" ht="28.5" customHeight="1"/>
    <row r="2" s="2" customFormat="1" ht="61.5" customHeight="1"/>
    <row r="3" s="1" customFormat="1" ht="12.75" customHeight="1"/>
    <row r="4" s="1" customFormat="1" ht="21" customHeight="1"/>
    <row r="5" spans="1:11" ht="12.75">
      <c r="A5" s="3"/>
      <c r="B5" s="3"/>
      <c r="C5" s="3"/>
      <c r="D5" s="3"/>
      <c r="E5" s="3"/>
      <c r="F5" s="3"/>
      <c r="H5" s="3"/>
      <c r="I5" s="3"/>
      <c r="K5" s="3"/>
    </row>
    <row r="6" spans="1:11" ht="12.75">
      <c r="A6" s="3"/>
      <c r="B6" s="3"/>
      <c r="C6" s="3"/>
      <c r="D6" s="3"/>
      <c r="E6" s="3"/>
      <c r="F6" s="3"/>
      <c r="H6" s="3"/>
      <c r="I6" s="3"/>
      <c r="K6" s="3"/>
    </row>
    <row r="7" spans="1:11" ht="12.75">
      <c r="A7" s="3"/>
      <c r="B7" s="3"/>
      <c r="C7" s="3"/>
      <c r="D7" s="3"/>
      <c r="E7" s="3"/>
      <c r="F7" s="3"/>
      <c r="H7" s="3"/>
      <c r="I7" s="3"/>
      <c r="K7" s="3"/>
    </row>
    <row r="8" spans="1:11" ht="12.75">
      <c r="A8" s="3"/>
      <c r="B8" s="3"/>
      <c r="C8" s="3"/>
      <c r="D8" s="3"/>
      <c r="E8" s="3"/>
      <c r="F8" s="3"/>
      <c r="H8" s="3"/>
      <c r="I8" s="3"/>
      <c r="K8" s="3"/>
    </row>
    <row r="9" spans="1:11" ht="12.75">
      <c r="A9" s="3"/>
      <c r="B9" s="3"/>
      <c r="C9" s="3"/>
      <c r="D9" s="3"/>
      <c r="E9" s="3"/>
      <c r="F9" s="3"/>
      <c r="H9" s="3"/>
      <c r="I9" s="3"/>
      <c r="K9" s="3"/>
    </row>
    <row r="10" spans="1:11" ht="12.75">
      <c r="A10" s="3"/>
      <c r="B10" s="3"/>
      <c r="C10" s="3"/>
      <c r="D10" s="3"/>
      <c r="E10" s="3"/>
      <c r="F10" s="3"/>
      <c r="H10" s="3"/>
      <c r="I10" s="3"/>
      <c r="K10" s="3"/>
    </row>
    <row r="11" spans="1:11" ht="12.75">
      <c r="A11" s="3"/>
      <c r="B11" s="3"/>
      <c r="C11" s="3"/>
      <c r="D11" s="3"/>
      <c r="E11" s="3"/>
      <c r="F11" s="3"/>
      <c r="H11" s="3"/>
      <c r="I11" s="3"/>
      <c r="K11" s="3"/>
    </row>
    <row r="12" spans="1:11" ht="12.75">
      <c r="A12" s="3"/>
      <c r="B12" s="3"/>
      <c r="C12" s="3"/>
      <c r="D12" s="3"/>
      <c r="E12" s="3"/>
      <c r="F12" s="3"/>
      <c r="H12" s="3"/>
      <c r="I12" s="3"/>
      <c r="K12" s="3"/>
    </row>
    <row r="13" spans="1:11" ht="12.75">
      <c r="A13" s="3"/>
      <c r="B13" s="3"/>
      <c r="C13" s="3"/>
      <c r="D13" s="3"/>
      <c r="E13" s="3"/>
      <c r="F13" s="3"/>
      <c r="H13" s="3"/>
      <c r="I13" s="3"/>
      <c r="K13" s="3"/>
    </row>
    <row r="14" spans="1:11" ht="12.75">
      <c r="A14" s="3"/>
      <c r="B14" s="3"/>
      <c r="C14" s="3"/>
      <c r="D14" s="3"/>
      <c r="E14" s="3"/>
      <c r="F14" s="3"/>
      <c r="H14" s="3"/>
      <c r="I14" s="3"/>
      <c r="K14" s="3"/>
    </row>
    <row r="15" spans="1:11" ht="12.75">
      <c r="A15" s="3"/>
      <c r="B15" s="3"/>
      <c r="C15" s="3"/>
      <c r="D15" s="3"/>
      <c r="E15" s="3"/>
      <c r="F15" s="3"/>
      <c r="H15" s="3"/>
      <c r="I15" s="3"/>
      <c r="K15" s="3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zoomScalePageLayoutView="0" workbookViewId="0" topLeftCell="A1">
      <selection activeCell="A1" sqref="A1:K2"/>
    </sheetView>
  </sheetViews>
  <sheetFormatPr defaultColWidth="9.00390625" defaultRowHeight="12.75"/>
  <cols>
    <col min="1" max="1" width="26.00390625" style="4" bestFit="1" customWidth="1"/>
    <col min="2" max="2" width="26.25390625" style="4" bestFit="1" customWidth="1"/>
    <col min="3" max="3" width="10.625" style="4" bestFit="1" customWidth="1"/>
    <col min="4" max="4" width="10.75390625" style="4" bestFit="1" customWidth="1"/>
    <col min="5" max="5" width="22.75390625" style="4" bestFit="1" customWidth="1"/>
    <col min="6" max="6" width="32.125" style="4" bestFit="1" customWidth="1"/>
    <col min="7" max="7" width="4.625" style="3" bestFit="1" customWidth="1"/>
    <col min="8" max="8" width="4.625" style="30" bestFit="1" customWidth="1"/>
    <col min="9" max="9" width="7.875" style="4" bestFit="1" customWidth="1"/>
    <col min="10" max="10" width="9.625" style="3" bestFit="1" customWidth="1"/>
    <col min="11" max="11" width="15.75390625" style="4" bestFit="1" customWidth="1"/>
    <col min="12" max="16384" width="9.125" style="3" customWidth="1"/>
  </cols>
  <sheetData>
    <row r="1" spans="1:11" s="2" customFormat="1" ht="28.5" customHeight="1">
      <c r="A1" s="54" t="s">
        <v>527</v>
      </c>
      <c r="B1" s="43"/>
      <c r="C1" s="43"/>
      <c r="D1" s="43"/>
      <c r="E1" s="43"/>
      <c r="F1" s="43"/>
      <c r="G1" s="43"/>
      <c r="H1" s="43"/>
      <c r="I1" s="43"/>
      <c r="J1" s="43"/>
      <c r="K1" s="44"/>
    </row>
    <row r="2" spans="1:11" s="2" customFormat="1" ht="61.5" customHeight="1" thickBot="1">
      <c r="A2" s="45"/>
      <c r="B2" s="46"/>
      <c r="C2" s="46"/>
      <c r="D2" s="46"/>
      <c r="E2" s="46"/>
      <c r="F2" s="46"/>
      <c r="G2" s="46"/>
      <c r="H2" s="46"/>
      <c r="I2" s="46"/>
      <c r="J2" s="46"/>
      <c r="K2" s="47"/>
    </row>
    <row r="3" spans="1:11" s="1" customFormat="1" ht="12.75" customHeight="1">
      <c r="A3" s="48" t="s">
        <v>0</v>
      </c>
      <c r="B3" s="50" t="s">
        <v>10</v>
      </c>
      <c r="C3" s="50" t="s">
        <v>11</v>
      </c>
      <c r="D3" s="52" t="s">
        <v>425</v>
      </c>
      <c r="E3" s="52" t="s">
        <v>7</v>
      </c>
      <c r="F3" s="52" t="s">
        <v>12</v>
      </c>
      <c r="G3" s="52" t="s">
        <v>438</v>
      </c>
      <c r="H3" s="52"/>
      <c r="I3" s="52" t="s">
        <v>441</v>
      </c>
      <c r="J3" s="52" t="s">
        <v>6</v>
      </c>
      <c r="K3" s="40" t="s">
        <v>5</v>
      </c>
    </row>
    <row r="4" spans="1:11" s="1" customFormat="1" ht="21" customHeight="1" thickBot="1">
      <c r="A4" s="49"/>
      <c r="B4" s="51"/>
      <c r="C4" s="51"/>
      <c r="D4" s="51"/>
      <c r="E4" s="51"/>
      <c r="F4" s="51"/>
      <c r="G4" s="7" t="s">
        <v>439</v>
      </c>
      <c r="H4" s="28" t="s">
        <v>440</v>
      </c>
      <c r="I4" s="51"/>
      <c r="J4" s="51"/>
      <c r="K4" s="41"/>
    </row>
    <row r="6" spans="1:10" ht="15">
      <c r="A6" s="55" t="s">
        <v>162</v>
      </c>
      <c r="B6" s="55"/>
      <c r="C6" s="55"/>
      <c r="D6" s="55"/>
      <c r="E6" s="55"/>
      <c r="F6" s="55"/>
      <c r="G6" s="55"/>
      <c r="H6" s="55"/>
      <c r="I6" s="55"/>
      <c r="J6" s="55"/>
    </row>
    <row r="7" spans="1:11" ht="12.75">
      <c r="A7" s="8" t="s">
        <v>310</v>
      </c>
      <c r="B7" s="8" t="s">
        <v>311</v>
      </c>
      <c r="C7" s="8" t="s">
        <v>170</v>
      </c>
      <c r="D7" s="8" t="str">
        <f>"0,7341"</f>
        <v>0,7341</v>
      </c>
      <c r="E7" s="8" t="s">
        <v>128</v>
      </c>
      <c r="F7" s="8" t="s">
        <v>312</v>
      </c>
      <c r="G7" s="9" t="s">
        <v>359</v>
      </c>
      <c r="H7" s="29" t="s">
        <v>431</v>
      </c>
      <c r="I7" s="8" t="str">
        <f>"2012,5"</f>
        <v>2012,5</v>
      </c>
      <c r="J7" s="9" t="str">
        <f>"1477,3762"</f>
        <v>1477,3762</v>
      </c>
      <c r="K7" s="8" t="s">
        <v>83</v>
      </c>
    </row>
    <row r="9" spans="1:10" ht="15">
      <c r="A9" s="55" t="s">
        <v>89</v>
      </c>
      <c r="B9" s="55"/>
      <c r="C9" s="55"/>
      <c r="D9" s="55"/>
      <c r="E9" s="55"/>
      <c r="F9" s="55"/>
      <c r="G9" s="55"/>
      <c r="H9" s="55"/>
      <c r="I9" s="55"/>
      <c r="J9" s="55"/>
    </row>
    <row r="10" spans="1:11" ht="12.75">
      <c r="A10" s="8" t="s">
        <v>388</v>
      </c>
      <c r="B10" s="8" t="s">
        <v>389</v>
      </c>
      <c r="C10" s="8" t="s">
        <v>390</v>
      </c>
      <c r="D10" s="8" t="str">
        <f>"0,7186"</f>
        <v>0,7186</v>
      </c>
      <c r="E10" s="8" t="s">
        <v>128</v>
      </c>
      <c r="F10" s="8" t="s">
        <v>74</v>
      </c>
      <c r="G10" s="9" t="s">
        <v>454</v>
      </c>
      <c r="H10" s="29" t="s">
        <v>455</v>
      </c>
      <c r="I10" s="8" t="str">
        <f>"2312,5"</f>
        <v>2312,5</v>
      </c>
      <c r="J10" s="9" t="str">
        <f>"1661,7624"</f>
        <v>1661,7624</v>
      </c>
      <c r="K10" s="8" t="s">
        <v>83</v>
      </c>
    </row>
    <row r="12" spans="5:6" ht="15">
      <c r="E12" s="11" t="s">
        <v>48</v>
      </c>
      <c r="F12" s="35" t="s">
        <v>526</v>
      </c>
    </row>
    <row r="13" spans="5:6" ht="15">
      <c r="E13" s="11" t="s">
        <v>49</v>
      </c>
      <c r="F13" s="35" t="s">
        <v>508</v>
      </c>
    </row>
    <row r="14" spans="5:6" ht="15">
      <c r="E14" s="11" t="s">
        <v>50</v>
      </c>
      <c r="F14" s="35" t="s">
        <v>523</v>
      </c>
    </row>
    <row r="15" spans="5:6" ht="15">
      <c r="E15" s="11" t="s">
        <v>51</v>
      </c>
      <c r="F15" s="35" t="s">
        <v>524</v>
      </c>
    </row>
    <row r="16" ht="15">
      <c r="E16" s="11"/>
    </row>
    <row r="17" ht="15">
      <c r="E17" s="11"/>
    </row>
    <row r="18" ht="15">
      <c r="E18" s="11"/>
    </row>
    <row r="20" spans="1:2" ht="18">
      <c r="A20" s="12" t="s">
        <v>52</v>
      </c>
      <c r="B20" s="12"/>
    </row>
    <row r="21" spans="1:2" ht="15">
      <c r="A21" s="13" t="s">
        <v>63</v>
      </c>
      <c r="B21" s="13"/>
    </row>
    <row r="22" spans="1:2" ht="14.25">
      <c r="A22" s="15"/>
      <c r="B22" s="16" t="s">
        <v>54</v>
      </c>
    </row>
    <row r="23" spans="1:5" ht="15">
      <c r="A23" s="17" t="s">
        <v>55</v>
      </c>
      <c r="B23" s="17" t="s">
        <v>56</v>
      </c>
      <c r="C23" s="17" t="s">
        <v>57</v>
      </c>
      <c r="D23" s="17" t="s">
        <v>58</v>
      </c>
      <c r="E23" s="17" t="s">
        <v>433</v>
      </c>
    </row>
    <row r="24" spans="1:5" ht="12.75">
      <c r="A24" s="14" t="s">
        <v>387</v>
      </c>
      <c r="B24" s="4" t="s">
        <v>54</v>
      </c>
      <c r="C24" s="4" t="s">
        <v>113</v>
      </c>
      <c r="D24" s="4" t="s">
        <v>456</v>
      </c>
      <c r="E24" s="18" t="s">
        <v>457</v>
      </c>
    </row>
    <row r="25" spans="1:5" ht="12.75">
      <c r="A25" s="14" t="s">
        <v>309</v>
      </c>
      <c r="B25" s="4" t="s">
        <v>54</v>
      </c>
      <c r="C25" s="4" t="s">
        <v>224</v>
      </c>
      <c r="D25" s="4" t="s">
        <v>458</v>
      </c>
      <c r="E25" s="18" t="s">
        <v>459</v>
      </c>
    </row>
  </sheetData>
  <sheetProtection/>
  <mergeCells count="13">
    <mergeCell ref="A6:J6"/>
    <mergeCell ref="A9:J9"/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  <mergeCell ref="K3:K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zoomScalePageLayoutView="0" workbookViewId="0" topLeftCell="A1">
      <selection activeCell="A1" sqref="A1:K2"/>
    </sheetView>
  </sheetViews>
  <sheetFormatPr defaultColWidth="9.00390625" defaultRowHeight="12.75"/>
  <cols>
    <col min="1" max="1" width="26.00390625" style="4" bestFit="1" customWidth="1"/>
    <col min="2" max="2" width="26.25390625" style="4" bestFit="1" customWidth="1"/>
    <col min="3" max="3" width="10.625" style="4" bestFit="1" customWidth="1"/>
    <col min="4" max="4" width="10.75390625" style="4" bestFit="1" customWidth="1"/>
    <col min="5" max="5" width="22.75390625" style="4" bestFit="1" customWidth="1"/>
    <col min="6" max="6" width="29.00390625" style="4" bestFit="1" customWidth="1"/>
    <col min="7" max="7" width="4.625" style="3" bestFit="1" customWidth="1"/>
    <col min="8" max="8" width="5.625" style="30" bestFit="1" customWidth="1"/>
    <col min="9" max="9" width="7.875" style="4" bestFit="1" customWidth="1"/>
    <col min="10" max="10" width="9.625" style="3" bestFit="1" customWidth="1"/>
    <col min="11" max="11" width="9.75390625" style="4" bestFit="1" customWidth="1"/>
    <col min="12" max="16384" width="9.125" style="3" customWidth="1"/>
  </cols>
  <sheetData>
    <row r="1" spans="1:11" s="2" customFormat="1" ht="28.5" customHeight="1">
      <c r="A1" s="54" t="s">
        <v>528</v>
      </c>
      <c r="B1" s="43"/>
      <c r="C1" s="43"/>
      <c r="D1" s="43"/>
      <c r="E1" s="43"/>
      <c r="F1" s="43"/>
      <c r="G1" s="43"/>
      <c r="H1" s="43"/>
      <c r="I1" s="43"/>
      <c r="J1" s="43"/>
      <c r="K1" s="44"/>
    </row>
    <row r="2" spans="1:11" s="2" customFormat="1" ht="61.5" customHeight="1" thickBot="1">
      <c r="A2" s="45"/>
      <c r="B2" s="46"/>
      <c r="C2" s="46"/>
      <c r="D2" s="46"/>
      <c r="E2" s="46"/>
      <c r="F2" s="46"/>
      <c r="G2" s="46"/>
      <c r="H2" s="46"/>
      <c r="I2" s="46"/>
      <c r="J2" s="46"/>
      <c r="K2" s="47"/>
    </row>
    <row r="3" spans="1:11" s="1" customFormat="1" ht="12.75" customHeight="1">
      <c r="A3" s="48" t="s">
        <v>0</v>
      </c>
      <c r="B3" s="50" t="s">
        <v>10</v>
      </c>
      <c r="C3" s="50" t="s">
        <v>11</v>
      </c>
      <c r="D3" s="52" t="s">
        <v>425</v>
      </c>
      <c r="E3" s="52" t="s">
        <v>7</v>
      </c>
      <c r="F3" s="52" t="s">
        <v>12</v>
      </c>
      <c r="G3" s="52" t="s">
        <v>438</v>
      </c>
      <c r="H3" s="52"/>
      <c r="I3" s="52" t="s">
        <v>441</v>
      </c>
      <c r="J3" s="52" t="s">
        <v>6</v>
      </c>
      <c r="K3" s="40" t="s">
        <v>5</v>
      </c>
    </row>
    <row r="4" spans="1:11" s="1" customFormat="1" ht="21" customHeight="1" thickBot="1">
      <c r="A4" s="49"/>
      <c r="B4" s="51"/>
      <c r="C4" s="51"/>
      <c r="D4" s="51"/>
      <c r="E4" s="51"/>
      <c r="F4" s="51"/>
      <c r="G4" s="7" t="s">
        <v>439</v>
      </c>
      <c r="H4" s="28" t="s">
        <v>440</v>
      </c>
      <c r="I4" s="51"/>
      <c r="J4" s="51"/>
      <c r="K4" s="41"/>
    </row>
    <row r="5" spans="1:10" ht="15">
      <c r="A5" s="53" t="s">
        <v>442</v>
      </c>
      <c r="B5" s="53"/>
      <c r="C5" s="53"/>
      <c r="D5" s="53"/>
      <c r="E5" s="53"/>
      <c r="F5" s="53"/>
      <c r="G5" s="53"/>
      <c r="H5" s="53"/>
      <c r="I5" s="53"/>
      <c r="J5" s="53"/>
    </row>
    <row r="6" spans="1:11" ht="12.75">
      <c r="A6" s="8" t="s">
        <v>444</v>
      </c>
      <c r="B6" s="8" t="s">
        <v>445</v>
      </c>
      <c r="C6" s="8" t="s">
        <v>446</v>
      </c>
      <c r="D6" s="8" t="str">
        <f>"1,9549"</f>
        <v>1,9549</v>
      </c>
      <c r="E6" s="8" t="s">
        <v>23</v>
      </c>
      <c r="F6" s="8" t="s">
        <v>74</v>
      </c>
      <c r="G6" s="9" t="s">
        <v>447</v>
      </c>
      <c r="H6" s="29" t="s">
        <v>448</v>
      </c>
      <c r="I6" s="8" t="str">
        <f>"1980,0"</f>
        <v>1980,0</v>
      </c>
      <c r="J6" s="9" t="str">
        <f>"3870,7021"</f>
        <v>3870,7021</v>
      </c>
      <c r="K6" s="8" t="s">
        <v>449</v>
      </c>
    </row>
    <row r="8" spans="5:6" ht="15">
      <c r="E8" s="11" t="s">
        <v>48</v>
      </c>
      <c r="F8" s="35" t="s">
        <v>526</v>
      </c>
    </row>
    <row r="9" spans="5:6" ht="15">
      <c r="E9" s="11" t="s">
        <v>49</v>
      </c>
      <c r="F9" s="35" t="s">
        <v>508</v>
      </c>
    </row>
    <row r="10" spans="5:6" ht="15">
      <c r="E10" s="11" t="s">
        <v>50</v>
      </c>
      <c r="F10" s="35" t="s">
        <v>523</v>
      </c>
    </row>
    <row r="11" spans="5:6" ht="15">
      <c r="E11" s="11" t="s">
        <v>51</v>
      </c>
      <c r="F11" s="35" t="s">
        <v>524</v>
      </c>
    </row>
    <row r="12" ht="15">
      <c r="E12" s="11"/>
    </row>
    <row r="13" ht="15">
      <c r="E13" s="11"/>
    </row>
    <row r="14" ht="15">
      <c r="E14" s="11"/>
    </row>
    <row r="16" spans="1:2" ht="18">
      <c r="A16" s="12" t="s">
        <v>52</v>
      </c>
      <c r="B16" s="12"/>
    </row>
    <row r="17" spans="1:2" ht="15">
      <c r="A17" s="13" t="s">
        <v>63</v>
      </c>
      <c r="B17" s="13"/>
    </row>
    <row r="18" spans="1:2" ht="14.25">
      <c r="A18" s="15"/>
      <c r="B18" s="16" t="s">
        <v>450</v>
      </c>
    </row>
    <row r="19" spans="1:5" ht="15">
      <c r="A19" s="17" t="s">
        <v>55</v>
      </c>
      <c r="B19" s="17" t="s">
        <v>56</v>
      </c>
      <c r="C19" s="17" t="s">
        <v>57</v>
      </c>
      <c r="D19" s="17" t="s">
        <v>58</v>
      </c>
      <c r="E19" s="17" t="s">
        <v>433</v>
      </c>
    </row>
    <row r="20" spans="1:5" ht="12.75">
      <c r="A20" s="14" t="s">
        <v>443</v>
      </c>
      <c r="B20" s="4" t="s">
        <v>450</v>
      </c>
      <c r="C20" s="4" t="s">
        <v>451</v>
      </c>
      <c r="D20" s="4" t="s">
        <v>452</v>
      </c>
      <c r="E20" s="18" t="s">
        <v>453</v>
      </c>
    </row>
  </sheetData>
  <sheetProtection/>
  <mergeCells count="12">
    <mergeCell ref="I3:I4"/>
    <mergeCell ref="J3:J4"/>
    <mergeCell ref="K3:K4"/>
    <mergeCell ref="A5:J5"/>
    <mergeCell ref="A1:K2"/>
    <mergeCell ref="A3:A4"/>
    <mergeCell ref="B3:B4"/>
    <mergeCell ref="C3:C4"/>
    <mergeCell ref="D3:D4"/>
    <mergeCell ref="E3:E4"/>
    <mergeCell ref="F3:F4"/>
    <mergeCell ref="G3:H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"/>
  <sheetViews>
    <sheetView zoomScalePageLayoutView="0" workbookViewId="0" topLeftCell="A1">
      <selection activeCell="F27" sqref="F27"/>
    </sheetView>
  </sheetViews>
  <sheetFormatPr defaultColWidth="9.00390625" defaultRowHeight="12.75"/>
  <cols>
    <col min="1" max="1" width="26.00390625" style="4" bestFit="1" customWidth="1"/>
    <col min="2" max="2" width="28.375" style="4" bestFit="1" customWidth="1"/>
    <col min="3" max="3" width="10.625" style="4" bestFit="1" customWidth="1"/>
    <col min="4" max="4" width="10.75390625" style="4" bestFit="1" customWidth="1"/>
    <col min="5" max="5" width="22.75390625" style="4" bestFit="1" customWidth="1"/>
    <col min="6" max="6" width="29.25390625" style="4" bestFit="1" customWidth="1"/>
    <col min="7" max="7" width="4.625" style="3" bestFit="1" customWidth="1"/>
    <col min="8" max="8" width="4.625" style="30" bestFit="1" customWidth="1"/>
    <col min="9" max="9" width="7.875" style="4" bestFit="1" customWidth="1"/>
    <col min="10" max="10" width="9.625" style="3" bestFit="1" customWidth="1"/>
    <col min="11" max="11" width="20.625" style="4" bestFit="1" customWidth="1"/>
    <col min="12" max="16384" width="9.125" style="3" customWidth="1"/>
  </cols>
  <sheetData>
    <row r="1" spans="1:11" s="2" customFormat="1" ht="28.5" customHeight="1">
      <c r="A1" s="54" t="s">
        <v>529</v>
      </c>
      <c r="B1" s="43"/>
      <c r="C1" s="43"/>
      <c r="D1" s="43"/>
      <c r="E1" s="43"/>
      <c r="F1" s="43"/>
      <c r="G1" s="43"/>
      <c r="H1" s="43"/>
      <c r="I1" s="43"/>
      <c r="J1" s="43"/>
      <c r="K1" s="44"/>
    </row>
    <row r="2" spans="1:11" s="2" customFormat="1" ht="61.5" customHeight="1" thickBot="1">
      <c r="A2" s="45"/>
      <c r="B2" s="46"/>
      <c r="C2" s="46"/>
      <c r="D2" s="46"/>
      <c r="E2" s="46"/>
      <c r="F2" s="46"/>
      <c r="G2" s="46"/>
      <c r="H2" s="46"/>
      <c r="I2" s="46"/>
      <c r="J2" s="46"/>
      <c r="K2" s="47"/>
    </row>
    <row r="3" spans="1:11" s="1" customFormat="1" ht="12.75" customHeight="1">
      <c r="A3" s="48" t="s">
        <v>0</v>
      </c>
      <c r="B3" s="50" t="s">
        <v>10</v>
      </c>
      <c r="C3" s="50" t="s">
        <v>11</v>
      </c>
      <c r="D3" s="52" t="s">
        <v>425</v>
      </c>
      <c r="E3" s="52" t="s">
        <v>7</v>
      </c>
      <c r="F3" s="52" t="s">
        <v>12</v>
      </c>
      <c r="G3" s="52" t="s">
        <v>438</v>
      </c>
      <c r="H3" s="52"/>
      <c r="I3" s="52" t="s">
        <v>441</v>
      </c>
      <c r="J3" s="52" t="s">
        <v>6</v>
      </c>
      <c r="K3" s="40" t="s">
        <v>5</v>
      </c>
    </row>
    <row r="4" spans="1:11" s="1" customFormat="1" ht="21" customHeight="1" thickBot="1">
      <c r="A4" s="49"/>
      <c r="B4" s="51"/>
      <c r="C4" s="51"/>
      <c r="D4" s="51"/>
      <c r="E4" s="51"/>
      <c r="F4" s="51"/>
      <c r="G4" s="7" t="s">
        <v>439</v>
      </c>
      <c r="H4" s="28" t="s">
        <v>440</v>
      </c>
      <c r="I4" s="51"/>
      <c r="J4" s="51"/>
      <c r="K4" s="41"/>
    </row>
    <row r="6" spans="1:10" ht="15">
      <c r="A6" s="55" t="s">
        <v>69</v>
      </c>
      <c r="B6" s="55"/>
      <c r="C6" s="55"/>
      <c r="D6" s="55"/>
      <c r="E6" s="55"/>
      <c r="F6" s="55"/>
      <c r="G6" s="55"/>
      <c r="H6" s="55"/>
      <c r="I6" s="55"/>
      <c r="J6" s="55"/>
    </row>
    <row r="7" spans="1:11" ht="12.75">
      <c r="A7" s="8" t="s">
        <v>428</v>
      </c>
      <c r="B7" s="8" t="s">
        <v>429</v>
      </c>
      <c r="C7" s="8" t="s">
        <v>430</v>
      </c>
      <c r="D7" s="8" t="str">
        <f>"0,7675"</f>
        <v>0,7675</v>
      </c>
      <c r="E7" s="8" t="s">
        <v>128</v>
      </c>
      <c r="F7" s="8" t="s">
        <v>74</v>
      </c>
      <c r="G7" s="9" t="s">
        <v>416</v>
      </c>
      <c r="H7" s="29" t="s">
        <v>431</v>
      </c>
      <c r="I7" s="8" t="str">
        <f>"1897,5"</f>
        <v>1897,5</v>
      </c>
      <c r="J7" s="9" t="str">
        <f>"1456,3312"</f>
        <v>1456,3312</v>
      </c>
      <c r="K7" s="8" t="s">
        <v>83</v>
      </c>
    </row>
    <row r="9" spans="1:10" ht="15">
      <c r="A9" s="55" t="s">
        <v>162</v>
      </c>
      <c r="B9" s="55"/>
      <c r="C9" s="55"/>
      <c r="D9" s="55"/>
      <c r="E9" s="55"/>
      <c r="F9" s="55"/>
      <c r="G9" s="55"/>
      <c r="H9" s="55"/>
      <c r="I9" s="55"/>
      <c r="J9" s="55"/>
    </row>
    <row r="10" spans="1:11" ht="12.75">
      <c r="A10" s="8" t="s">
        <v>407</v>
      </c>
      <c r="B10" s="8" t="s">
        <v>408</v>
      </c>
      <c r="C10" s="8" t="s">
        <v>409</v>
      </c>
      <c r="D10" s="8" t="str">
        <f>"0,7283"</f>
        <v>0,7283</v>
      </c>
      <c r="E10" s="8" t="s">
        <v>120</v>
      </c>
      <c r="F10" s="8" t="s">
        <v>74</v>
      </c>
      <c r="G10" s="9" t="s">
        <v>360</v>
      </c>
      <c r="H10" s="29" t="s">
        <v>432</v>
      </c>
      <c r="I10" s="8" t="str">
        <f>"1890,0"</f>
        <v>1890,0</v>
      </c>
      <c r="J10" s="9" t="str">
        <f>"1376,4870"</f>
        <v>1376,4870</v>
      </c>
      <c r="K10" s="8" t="s">
        <v>83</v>
      </c>
    </row>
    <row r="12" spans="5:6" ht="15">
      <c r="E12" s="11" t="s">
        <v>48</v>
      </c>
      <c r="F12" s="35" t="s">
        <v>526</v>
      </c>
    </row>
    <row r="13" spans="5:6" ht="15">
      <c r="E13" s="11" t="s">
        <v>49</v>
      </c>
      <c r="F13" s="35" t="s">
        <v>508</v>
      </c>
    </row>
    <row r="14" spans="5:6" ht="15">
      <c r="E14" s="11" t="s">
        <v>50</v>
      </c>
      <c r="F14" s="35" t="s">
        <v>523</v>
      </c>
    </row>
    <row r="15" spans="5:6" ht="15">
      <c r="E15" s="11" t="s">
        <v>51</v>
      </c>
      <c r="F15" s="35" t="s">
        <v>524</v>
      </c>
    </row>
    <row r="16" spans="5:6" ht="15">
      <c r="E16" s="11"/>
      <c r="F16" s="35"/>
    </row>
    <row r="17" ht="15">
      <c r="E17" s="11"/>
    </row>
    <row r="18" ht="15">
      <c r="E18" s="11"/>
    </row>
    <row r="20" spans="1:2" ht="18">
      <c r="A20" s="12" t="s">
        <v>52</v>
      </c>
      <c r="B20" s="12"/>
    </row>
    <row r="21" spans="1:2" ht="15">
      <c r="A21" s="13" t="s">
        <v>63</v>
      </c>
      <c r="B21" s="13"/>
    </row>
    <row r="22" spans="1:2" ht="14.25">
      <c r="A22" s="15"/>
      <c r="B22" s="16" t="s">
        <v>213</v>
      </c>
    </row>
    <row r="23" spans="1:5" ht="15">
      <c r="A23" s="17" t="s">
        <v>55</v>
      </c>
      <c r="B23" s="17" t="s">
        <v>56</v>
      </c>
      <c r="C23" s="17" t="s">
        <v>57</v>
      </c>
      <c r="D23" s="17" t="s">
        <v>58</v>
      </c>
      <c r="E23" s="17" t="s">
        <v>433</v>
      </c>
    </row>
    <row r="24" spans="1:5" ht="12.75">
      <c r="A24" s="14" t="s">
        <v>427</v>
      </c>
      <c r="B24" s="4" t="s">
        <v>213</v>
      </c>
      <c r="C24" s="4" t="s">
        <v>85</v>
      </c>
      <c r="D24" s="4" t="s">
        <v>434</v>
      </c>
      <c r="E24" s="18" t="s">
        <v>435</v>
      </c>
    </row>
    <row r="26" spans="1:2" ht="14.25">
      <c r="A26" s="15"/>
      <c r="B26" s="16" t="s">
        <v>54</v>
      </c>
    </row>
    <row r="27" spans="1:5" ht="15">
      <c r="A27" s="17" t="s">
        <v>55</v>
      </c>
      <c r="B27" s="17" t="s">
        <v>56</v>
      </c>
      <c r="C27" s="17" t="s">
        <v>57</v>
      </c>
      <c r="D27" s="17" t="s">
        <v>58</v>
      </c>
      <c r="E27" s="17" t="s">
        <v>433</v>
      </c>
    </row>
    <row r="28" spans="1:5" ht="12.75">
      <c r="A28" s="14" t="s">
        <v>406</v>
      </c>
      <c r="B28" s="4" t="s">
        <v>54</v>
      </c>
      <c r="C28" s="4" t="s">
        <v>224</v>
      </c>
      <c r="D28" s="4" t="s">
        <v>436</v>
      </c>
      <c r="E28" s="18" t="s">
        <v>437</v>
      </c>
    </row>
  </sheetData>
  <sheetProtection/>
  <mergeCells count="13">
    <mergeCell ref="A6:J6"/>
    <mergeCell ref="A9:J9"/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  <mergeCell ref="K3:K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0"/>
  <sheetViews>
    <sheetView zoomScalePageLayoutView="0" workbookViewId="0" topLeftCell="A1">
      <selection activeCell="F12" sqref="F8:F12"/>
    </sheetView>
  </sheetViews>
  <sheetFormatPr defaultColWidth="9.00390625" defaultRowHeight="12.75"/>
  <cols>
    <col min="1" max="1" width="26.00390625" style="4" bestFit="1" customWidth="1"/>
    <col min="2" max="2" width="26.25390625" style="4" bestFit="1" customWidth="1"/>
    <col min="3" max="3" width="10.625" style="4" bestFit="1" customWidth="1"/>
    <col min="4" max="4" width="9.25390625" style="4" bestFit="1" customWidth="1"/>
    <col min="5" max="5" width="22.75390625" style="4" bestFit="1" customWidth="1"/>
    <col min="6" max="6" width="29.00390625" style="4" bestFit="1" customWidth="1"/>
    <col min="7" max="9" width="4.625" style="3" bestFit="1" customWidth="1"/>
    <col min="10" max="10" width="4.875" style="3" bestFit="1" customWidth="1"/>
    <col min="11" max="13" width="4.625" style="3" bestFit="1" customWidth="1"/>
    <col min="14" max="14" width="4.875" style="3" bestFit="1" customWidth="1"/>
    <col min="15" max="15" width="7.875" style="4" bestFit="1" customWidth="1"/>
    <col min="16" max="16" width="7.625" style="3" bestFit="1" customWidth="1"/>
    <col min="17" max="17" width="15.75390625" style="4" bestFit="1" customWidth="1"/>
    <col min="18" max="16384" width="9.125" style="3" customWidth="1"/>
  </cols>
  <sheetData>
    <row r="1" spans="1:17" s="2" customFormat="1" ht="28.5" customHeight="1">
      <c r="A1" s="54" t="s">
        <v>421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4"/>
    </row>
    <row r="2" spans="1:17" s="2" customFormat="1" ht="61.5" customHeight="1" thickBot="1">
      <c r="A2" s="45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7"/>
    </row>
    <row r="3" spans="1:17" s="1" customFormat="1" ht="12.75" customHeight="1">
      <c r="A3" s="48" t="s">
        <v>0</v>
      </c>
      <c r="B3" s="50" t="s">
        <v>10</v>
      </c>
      <c r="C3" s="50" t="s">
        <v>11</v>
      </c>
      <c r="D3" s="52" t="s">
        <v>14</v>
      </c>
      <c r="E3" s="52" t="s">
        <v>7</v>
      </c>
      <c r="F3" s="52" t="s">
        <v>12</v>
      </c>
      <c r="G3" s="52" t="s">
        <v>395</v>
      </c>
      <c r="H3" s="52"/>
      <c r="I3" s="52"/>
      <c r="J3" s="52"/>
      <c r="K3" s="52" t="s">
        <v>326</v>
      </c>
      <c r="L3" s="52"/>
      <c r="M3" s="52"/>
      <c r="N3" s="52"/>
      <c r="O3" s="52" t="s">
        <v>4</v>
      </c>
      <c r="P3" s="52" t="s">
        <v>6</v>
      </c>
      <c r="Q3" s="40" t="s">
        <v>5</v>
      </c>
    </row>
    <row r="4" spans="1:17" s="1" customFormat="1" ht="21" customHeight="1" thickBot="1">
      <c r="A4" s="49"/>
      <c r="B4" s="51"/>
      <c r="C4" s="51"/>
      <c r="D4" s="51"/>
      <c r="E4" s="51"/>
      <c r="F4" s="51"/>
      <c r="G4" s="7">
        <v>1</v>
      </c>
      <c r="H4" s="7">
        <v>2</v>
      </c>
      <c r="I4" s="7">
        <v>3</v>
      </c>
      <c r="J4" s="7" t="s">
        <v>8</v>
      </c>
      <c r="K4" s="7">
        <v>1</v>
      </c>
      <c r="L4" s="7">
        <v>2</v>
      </c>
      <c r="M4" s="7">
        <v>3</v>
      </c>
      <c r="N4" s="7" t="s">
        <v>8</v>
      </c>
      <c r="O4" s="51"/>
      <c r="P4" s="51"/>
      <c r="Q4" s="41"/>
    </row>
    <row r="5" spans="1:16" ht="15">
      <c r="A5" s="53" t="s">
        <v>69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</row>
    <row r="6" spans="1:17" ht="12.75">
      <c r="A6" s="8" t="s">
        <v>384</v>
      </c>
      <c r="B6" s="8" t="s">
        <v>385</v>
      </c>
      <c r="C6" s="8" t="s">
        <v>422</v>
      </c>
      <c r="D6" s="8" t="str">
        <f>"0,6498"</f>
        <v>0,6498</v>
      </c>
      <c r="E6" s="8" t="s">
        <v>23</v>
      </c>
      <c r="F6" s="8" t="s">
        <v>74</v>
      </c>
      <c r="G6" s="9" t="s">
        <v>332</v>
      </c>
      <c r="H6" s="9" t="s">
        <v>131</v>
      </c>
      <c r="I6" s="9" t="s">
        <v>423</v>
      </c>
      <c r="J6" s="10"/>
      <c r="K6" s="10" t="s">
        <v>386</v>
      </c>
      <c r="L6" s="9" t="s">
        <v>386</v>
      </c>
      <c r="M6" s="9" t="s">
        <v>331</v>
      </c>
      <c r="N6" s="10"/>
      <c r="O6" s="8" t="str">
        <f>"120,0"</f>
        <v>120,0</v>
      </c>
      <c r="P6" s="9" t="str">
        <f>"77,9760"</f>
        <v>77,9760</v>
      </c>
      <c r="Q6" s="8" t="s">
        <v>83</v>
      </c>
    </row>
    <row r="8" spans="5:6" ht="15">
      <c r="E8" s="11" t="s">
        <v>48</v>
      </c>
      <c r="F8" s="35" t="s">
        <v>526</v>
      </c>
    </row>
    <row r="9" spans="5:6" ht="15">
      <c r="E9" s="11" t="s">
        <v>49</v>
      </c>
      <c r="F9" s="35" t="s">
        <v>508</v>
      </c>
    </row>
    <row r="10" spans="5:6" ht="15">
      <c r="E10" s="11" t="s">
        <v>50</v>
      </c>
      <c r="F10" s="35" t="s">
        <v>523</v>
      </c>
    </row>
    <row r="11" spans="5:6" ht="15">
      <c r="E11" s="11" t="s">
        <v>51</v>
      </c>
      <c r="F11" s="35" t="s">
        <v>524</v>
      </c>
    </row>
    <row r="12" spans="5:6" ht="15">
      <c r="E12" s="11" t="s">
        <v>51</v>
      </c>
      <c r="F12" s="35" t="s">
        <v>525</v>
      </c>
    </row>
    <row r="13" ht="15">
      <c r="E13" s="11"/>
    </row>
    <row r="14" ht="15">
      <c r="E14" s="11"/>
    </row>
    <row r="16" spans="1:2" ht="18">
      <c r="A16" s="12" t="s">
        <v>52</v>
      </c>
      <c r="B16" s="12"/>
    </row>
    <row r="17" spans="1:2" ht="15">
      <c r="A17" s="13" t="s">
        <v>63</v>
      </c>
      <c r="B17" s="13"/>
    </row>
    <row r="18" spans="1:2" ht="14.25">
      <c r="A18" s="15"/>
      <c r="B18" s="16" t="s">
        <v>54</v>
      </c>
    </row>
    <row r="19" spans="1:5" ht="15">
      <c r="A19" s="17" t="s">
        <v>55</v>
      </c>
      <c r="B19" s="17" t="s">
        <v>56</v>
      </c>
      <c r="C19" s="17" t="s">
        <v>57</v>
      </c>
      <c r="D19" s="17" t="s">
        <v>58</v>
      </c>
      <c r="E19" s="17" t="s">
        <v>59</v>
      </c>
    </row>
    <row r="20" spans="1:5" ht="12.75">
      <c r="A20" s="14" t="s">
        <v>383</v>
      </c>
      <c r="B20" s="4" t="s">
        <v>54</v>
      </c>
      <c r="C20" s="4" t="s">
        <v>85</v>
      </c>
      <c r="D20" s="4" t="s">
        <v>147</v>
      </c>
      <c r="E20" s="18" t="s">
        <v>424</v>
      </c>
    </row>
  </sheetData>
  <sheetProtection/>
  <mergeCells count="13">
    <mergeCell ref="O3:O4"/>
    <mergeCell ref="P3:P4"/>
    <mergeCell ref="Q3:Q4"/>
    <mergeCell ref="A5:P5"/>
    <mergeCell ref="A1:Q2"/>
    <mergeCell ref="A3:A4"/>
    <mergeCell ref="B3:B4"/>
    <mergeCell ref="C3:C4"/>
    <mergeCell ref="D3:D4"/>
    <mergeCell ref="E3:E4"/>
    <mergeCell ref="F3:F4"/>
    <mergeCell ref="G3:J3"/>
    <mergeCell ref="K3:N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9"/>
  <sheetViews>
    <sheetView zoomScalePageLayoutView="0" workbookViewId="0" topLeftCell="A1">
      <selection activeCell="F17" sqref="F13:F17"/>
    </sheetView>
  </sheetViews>
  <sheetFormatPr defaultColWidth="9.00390625" defaultRowHeight="12.75"/>
  <cols>
    <col min="1" max="1" width="26.00390625" style="4" bestFit="1" customWidth="1"/>
    <col min="2" max="2" width="28.625" style="4" bestFit="1" customWidth="1"/>
    <col min="3" max="3" width="10.625" style="4" bestFit="1" customWidth="1"/>
    <col min="4" max="4" width="9.25390625" style="4" bestFit="1" customWidth="1"/>
    <col min="5" max="5" width="22.75390625" style="4" bestFit="1" customWidth="1"/>
    <col min="6" max="6" width="29.00390625" style="4" bestFit="1" customWidth="1"/>
    <col min="7" max="9" width="4.625" style="3" bestFit="1" customWidth="1"/>
    <col min="10" max="10" width="4.875" style="3" bestFit="1" customWidth="1"/>
    <col min="11" max="13" width="4.625" style="3" bestFit="1" customWidth="1"/>
    <col min="14" max="14" width="4.875" style="3" bestFit="1" customWidth="1"/>
    <col min="15" max="15" width="7.875" style="4" bestFit="1" customWidth="1"/>
    <col min="16" max="16" width="7.625" style="3" bestFit="1" customWidth="1"/>
    <col min="17" max="17" width="15.75390625" style="4" bestFit="1" customWidth="1"/>
    <col min="18" max="16384" width="9.125" style="3" customWidth="1"/>
  </cols>
  <sheetData>
    <row r="1" spans="1:17" s="2" customFormat="1" ht="28.5" customHeight="1">
      <c r="A1" s="54" t="s">
        <v>394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4"/>
    </row>
    <row r="2" spans="1:17" s="2" customFormat="1" ht="61.5" customHeight="1" thickBot="1">
      <c r="A2" s="45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7"/>
    </row>
    <row r="3" spans="1:17" s="1" customFormat="1" ht="12.75" customHeight="1">
      <c r="A3" s="48" t="s">
        <v>0</v>
      </c>
      <c r="B3" s="50" t="s">
        <v>10</v>
      </c>
      <c r="C3" s="50" t="s">
        <v>11</v>
      </c>
      <c r="D3" s="52" t="s">
        <v>14</v>
      </c>
      <c r="E3" s="52" t="s">
        <v>7</v>
      </c>
      <c r="F3" s="52" t="s">
        <v>12</v>
      </c>
      <c r="G3" s="52" t="s">
        <v>395</v>
      </c>
      <c r="H3" s="52"/>
      <c r="I3" s="52"/>
      <c r="J3" s="52"/>
      <c r="K3" s="52" t="s">
        <v>326</v>
      </c>
      <c r="L3" s="52"/>
      <c r="M3" s="52"/>
      <c r="N3" s="52"/>
      <c r="O3" s="52" t="s">
        <v>4</v>
      </c>
      <c r="P3" s="52" t="s">
        <v>6</v>
      </c>
      <c r="Q3" s="40" t="s">
        <v>5</v>
      </c>
    </row>
    <row r="4" spans="1:17" s="1" customFormat="1" ht="21" customHeight="1" thickBot="1">
      <c r="A4" s="49"/>
      <c r="B4" s="51"/>
      <c r="C4" s="51"/>
      <c r="D4" s="51"/>
      <c r="E4" s="51"/>
      <c r="F4" s="51"/>
      <c r="G4" s="7">
        <v>1</v>
      </c>
      <c r="H4" s="7">
        <v>2</v>
      </c>
      <c r="I4" s="7">
        <v>3</v>
      </c>
      <c r="J4" s="7" t="s">
        <v>8</v>
      </c>
      <c r="K4" s="7">
        <v>1</v>
      </c>
      <c r="L4" s="7">
        <v>2</v>
      </c>
      <c r="M4" s="7">
        <v>3</v>
      </c>
      <c r="N4" s="7" t="s">
        <v>8</v>
      </c>
      <c r="O4" s="51"/>
      <c r="P4" s="51"/>
      <c r="Q4" s="41"/>
    </row>
    <row r="5" spans="1:16" ht="15">
      <c r="A5" s="53" t="s">
        <v>133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</row>
    <row r="6" spans="1:17" ht="12.75">
      <c r="A6" s="22" t="s">
        <v>397</v>
      </c>
      <c r="B6" s="22" t="s">
        <v>405</v>
      </c>
      <c r="C6" s="22" t="s">
        <v>136</v>
      </c>
      <c r="D6" s="22" t="str">
        <f>"0,8609"</f>
        <v>0,8609</v>
      </c>
      <c r="E6" s="22" t="s">
        <v>398</v>
      </c>
      <c r="F6" s="22" t="s">
        <v>399</v>
      </c>
      <c r="G6" s="24" t="s">
        <v>400</v>
      </c>
      <c r="H6" s="23" t="s">
        <v>401</v>
      </c>
      <c r="I6" s="23" t="s">
        <v>401</v>
      </c>
      <c r="J6" s="23"/>
      <c r="K6" s="23" t="s">
        <v>402</v>
      </c>
      <c r="L6" s="23" t="s">
        <v>402</v>
      </c>
      <c r="M6" s="24" t="s">
        <v>403</v>
      </c>
      <c r="N6" s="23"/>
      <c r="O6" s="22" t="str">
        <f>"62,5"</f>
        <v>62,5</v>
      </c>
      <c r="P6" s="24" t="str">
        <f>"53,9677"</f>
        <v>53,9677</v>
      </c>
      <c r="Q6" s="22" t="s">
        <v>404</v>
      </c>
    </row>
    <row r="9" spans="1:16" ht="15">
      <c r="A9" s="55" t="s">
        <v>162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</row>
    <row r="10" spans="1:17" ht="12.75">
      <c r="A10" s="19" t="s">
        <v>407</v>
      </c>
      <c r="B10" s="19" t="s">
        <v>408</v>
      </c>
      <c r="C10" s="19" t="s">
        <v>409</v>
      </c>
      <c r="D10" s="19" t="str">
        <f>"0,5926"</f>
        <v>0,5926</v>
      </c>
      <c r="E10" s="19" t="s">
        <v>120</v>
      </c>
      <c r="F10" s="19" t="s">
        <v>74</v>
      </c>
      <c r="G10" s="21" t="s">
        <v>410</v>
      </c>
      <c r="H10" s="21" t="s">
        <v>358</v>
      </c>
      <c r="I10" s="21" t="s">
        <v>372</v>
      </c>
      <c r="J10" s="20"/>
      <c r="K10" s="21" t="s">
        <v>129</v>
      </c>
      <c r="L10" s="21" t="s">
        <v>332</v>
      </c>
      <c r="M10" s="20" t="s">
        <v>131</v>
      </c>
      <c r="N10" s="20"/>
      <c r="O10" s="19" t="str">
        <f>"145,0"</f>
        <v>145,0</v>
      </c>
      <c r="P10" s="21" t="str">
        <f>"85,9270"</f>
        <v>85,9270</v>
      </c>
      <c r="Q10" s="19" t="s">
        <v>83</v>
      </c>
    </row>
    <row r="11" spans="1:17" ht="12.75">
      <c r="A11" s="22" t="s">
        <v>412</v>
      </c>
      <c r="B11" s="22" t="s">
        <v>413</v>
      </c>
      <c r="C11" s="22" t="s">
        <v>414</v>
      </c>
      <c r="D11" s="22" t="str">
        <f>"0,5893"</f>
        <v>0,5893</v>
      </c>
      <c r="E11" s="22" t="s">
        <v>398</v>
      </c>
      <c r="F11" s="22" t="s">
        <v>399</v>
      </c>
      <c r="G11" s="23" t="s">
        <v>415</v>
      </c>
      <c r="H11" s="24" t="s">
        <v>416</v>
      </c>
      <c r="I11" s="24" t="s">
        <v>372</v>
      </c>
      <c r="J11" s="23"/>
      <c r="K11" s="23" t="s">
        <v>331</v>
      </c>
      <c r="L11" s="24" t="s">
        <v>331</v>
      </c>
      <c r="M11" s="24" t="s">
        <v>337</v>
      </c>
      <c r="N11" s="23"/>
      <c r="O11" s="22" t="str">
        <f>"140,0"</f>
        <v>140,0</v>
      </c>
      <c r="P11" s="24" t="str">
        <f>"82,5020"</f>
        <v>82,5020</v>
      </c>
      <c r="Q11" s="22" t="s">
        <v>404</v>
      </c>
    </row>
    <row r="13" spans="5:6" ht="15">
      <c r="E13" s="11" t="s">
        <v>48</v>
      </c>
      <c r="F13" s="35" t="s">
        <v>526</v>
      </c>
    </row>
    <row r="14" spans="5:6" ht="15">
      <c r="E14" s="11" t="s">
        <v>49</v>
      </c>
      <c r="F14" s="35" t="s">
        <v>508</v>
      </c>
    </row>
    <row r="15" spans="5:6" ht="15">
      <c r="E15" s="11" t="s">
        <v>50</v>
      </c>
      <c r="F15" s="35" t="s">
        <v>523</v>
      </c>
    </row>
    <row r="16" spans="5:6" ht="15">
      <c r="E16" s="11" t="s">
        <v>51</v>
      </c>
      <c r="F16" s="35" t="s">
        <v>524</v>
      </c>
    </row>
    <row r="17" spans="5:6" ht="15">
      <c r="E17" s="11" t="s">
        <v>51</v>
      </c>
      <c r="F17" s="35" t="s">
        <v>525</v>
      </c>
    </row>
    <row r="18" ht="15">
      <c r="E18" s="11"/>
    </row>
    <row r="19" ht="15">
      <c r="E19" s="11"/>
    </row>
    <row r="21" spans="1:2" ht="18">
      <c r="A21" s="12" t="s">
        <v>52</v>
      </c>
      <c r="B21" s="12"/>
    </row>
    <row r="22" spans="1:2" ht="15">
      <c r="A22" s="13" t="s">
        <v>53</v>
      </c>
      <c r="B22" s="13"/>
    </row>
    <row r="23" spans="1:2" ht="14.25">
      <c r="A23" s="15"/>
      <c r="B23" s="16" t="s">
        <v>54</v>
      </c>
    </row>
    <row r="24" spans="1:5" ht="15">
      <c r="A24" s="17" t="s">
        <v>55</v>
      </c>
      <c r="B24" s="17" t="s">
        <v>56</v>
      </c>
      <c r="C24" s="17" t="s">
        <v>57</v>
      </c>
      <c r="D24" s="17" t="s">
        <v>58</v>
      </c>
      <c r="E24" s="17" t="s">
        <v>59</v>
      </c>
    </row>
    <row r="25" spans="1:5" ht="12.75">
      <c r="A25" s="14" t="s">
        <v>396</v>
      </c>
      <c r="B25" s="4" t="s">
        <v>54</v>
      </c>
      <c r="C25" s="4" t="s">
        <v>214</v>
      </c>
      <c r="D25" s="4" t="s">
        <v>130</v>
      </c>
      <c r="E25" s="18" t="s">
        <v>417</v>
      </c>
    </row>
    <row r="27" spans="1:2" ht="14.25">
      <c r="A27" s="15"/>
      <c r="B27" s="16" t="s">
        <v>229</v>
      </c>
    </row>
    <row r="28" spans="1:5" ht="15">
      <c r="A28" s="17" t="s">
        <v>55</v>
      </c>
      <c r="B28" s="17" t="s">
        <v>56</v>
      </c>
      <c r="C28" s="17" t="s">
        <v>57</v>
      </c>
      <c r="D28" s="17" t="s">
        <v>58</v>
      </c>
      <c r="E28" s="17" t="s">
        <v>59</v>
      </c>
    </row>
    <row r="29" spans="1:5" ht="12.75">
      <c r="A29" s="14" t="s">
        <v>396</v>
      </c>
      <c r="B29" s="4" t="s">
        <v>229</v>
      </c>
      <c r="C29" s="4" t="s">
        <v>214</v>
      </c>
      <c r="D29" s="4" t="s">
        <v>130</v>
      </c>
      <c r="E29" s="18" t="s">
        <v>418</v>
      </c>
    </row>
    <row r="32" spans="1:2" ht="15">
      <c r="A32" s="13" t="s">
        <v>63</v>
      </c>
      <c r="B32" s="13"/>
    </row>
    <row r="33" spans="1:2" ht="14.25">
      <c r="A33" s="15"/>
      <c r="B33" s="16" t="s">
        <v>54</v>
      </c>
    </row>
    <row r="34" spans="1:5" ht="15">
      <c r="A34" s="17" t="s">
        <v>55</v>
      </c>
      <c r="B34" s="17" t="s">
        <v>56</v>
      </c>
      <c r="C34" s="17" t="s">
        <v>57</v>
      </c>
      <c r="D34" s="17" t="s">
        <v>58</v>
      </c>
      <c r="E34" s="17" t="s">
        <v>59</v>
      </c>
    </row>
    <row r="35" spans="1:5" ht="12.75">
      <c r="A35" s="14" t="s">
        <v>406</v>
      </c>
      <c r="B35" s="4" t="s">
        <v>54</v>
      </c>
      <c r="C35" s="4" t="s">
        <v>224</v>
      </c>
      <c r="D35" s="4" t="s">
        <v>45</v>
      </c>
      <c r="E35" s="18" t="s">
        <v>419</v>
      </c>
    </row>
    <row r="37" spans="1:2" ht="14.25">
      <c r="A37" s="15"/>
      <c r="B37" s="16" t="s">
        <v>229</v>
      </c>
    </row>
    <row r="38" spans="1:5" ht="15">
      <c r="A38" s="17" t="s">
        <v>55</v>
      </c>
      <c r="B38" s="17" t="s">
        <v>56</v>
      </c>
      <c r="C38" s="17" t="s">
        <v>57</v>
      </c>
      <c r="D38" s="17" t="s">
        <v>58</v>
      </c>
      <c r="E38" s="17" t="s">
        <v>59</v>
      </c>
    </row>
    <row r="39" spans="1:5" ht="12.75">
      <c r="A39" s="14" t="s">
        <v>411</v>
      </c>
      <c r="B39" s="4" t="s">
        <v>229</v>
      </c>
      <c r="C39" s="4" t="s">
        <v>224</v>
      </c>
      <c r="D39" s="4" t="s">
        <v>42</v>
      </c>
      <c r="E39" s="18" t="s">
        <v>420</v>
      </c>
    </row>
  </sheetData>
  <sheetProtection/>
  <mergeCells count="14">
    <mergeCell ref="A5:P5"/>
    <mergeCell ref="A9:P9"/>
    <mergeCell ref="A1:Q2"/>
    <mergeCell ref="A3:A4"/>
    <mergeCell ref="B3:B4"/>
    <mergeCell ref="C3:C4"/>
    <mergeCell ref="D3:D4"/>
    <mergeCell ref="E3:E4"/>
    <mergeCell ref="F3:F4"/>
    <mergeCell ref="G3:J3"/>
    <mergeCell ref="K3:N3"/>
    <mergeCell ref="O3:O4"/>
    <mergeCell ref="P3:P4"/>
    <mergeCell ref="Q3:Q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8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zoomScalePageLayoutView="0" workbookViewId="0" topLeftCell="A1">
      <selection activeCell="F18" sqref="F14:F18"/>
    </sheetView>
  </sheetViews>
  <sheetFormatPr defaultColWidth="9.00390625" defaultRowHeight="12.75"/>
  <cols>
    <col min="1" max="1" width="26.00390625" style="4" bestFit="1" customWidth="1"/>
    <col min="2" max="2" width="28.625" style="4" bestFit="1" customWidth="1"/>
    <col min="3" max="3" width="10.625" style="4" bestFit="1" customWidth="1"/>
    <col min="4" max="4" width="9.25390625" style="4" bestFit="1" customWidth="1"/>
    <col min="5" max="5" width="22.75390625" style="4" bestFit="1" customWidth="1"/>
    <col min="6" max="6" width="29.00390625" style="4" bestFit="1" customWidth="1"/>
    <col min="7" max="9" width="4.625" style="3" bestFit="1" customWidth="1"/>
    <col min="10" max="10" width="4.875" style="3" bestFit="1" customWidth="1"/>
    <col min="11" max="11" width="7.875" style="4" bestFit="1" customWidth="1"/>
    <col min="12" max="12" width="7.625" style="3" bestFit="1" customWidth="1"/>
    <col min="13" max="13" width="15.75390625" style="4" bestFit="1" customWidth="1"/>
    <col min="14" max="16384" width="9.125" style="3" customWidth="1"/>
  </cols>
  <sheetData>
    <row r="1" spans="1:13" s="2" customFormat="1" ht="28.5" customHeight="1">
      <c r="A1" s="54" t="s">
        <v>379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4"/>
    </row>
    <row r="2" spans="1:13" s="2" customFormat="1" ht="61.5" customHeight="1" thickBot="1">
      <c r="A2" s="45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s="1" customFormat="1" ht="12.75" customHeight="1">
      <c r="A3" s="48" t="s">
        <v>0</v>
      </c>
      <c r="B3" s="50" t="s">
        <v>10</v>
      </c>
      <c r="C3" s="50" t="s">
        <v>11</v>
      </c>
      <c r="D3" s="52" t="s">
        <v>14</v>
      </c>
      <c r="E3" s="52" t="s">
        <v>7</v>
      </c>
      <c r="F3" s="52" t="s">
        <v>12</v>
      </c>
      <c r="G3" s="52" t="s">
        <v>326</v>
      </c>
      <c r="H3" s="52"/>
      <c r="I3" s="52"/>
      <c r="J3" s="52"/>
      <c r="K3" s="52" t="s">
        <v>118</v>
      </c>
      <c r="L3" s="52" t="s">
        <v>6</v>
      </c>
      <c r="M3" s="40" t="s">
        <v>5</v>
      </c>
    </row>
    <row r="4" spans="1:13" s="1" customFormat="1" ht="21" customHeight="1" thickBot="1">
      <c r="A4" s="49"/>
      <c r="B4" s="51"/>
      <c r="C4" s="51"/>
      <c r="D4" s="51"/>
      <c r="E4" s="51"/>
      <c r="F4" s="51"/>
      <c r="G4" s="7">
        <v>1</v>
      </c>
      <c r="H4" s="7">
        <v>2</v>
      </c>
      <c r="I4" s="7">
        <v>3</v>
      </c>
      <c r="J4" s="7" t="s">
        <v>8</v>
      </c>
      <c r="K4" s="51"/>
      <c r="L4" s="51"/>
      <c r="M4" s="41"/>
    </row>
    <row r="5" spans="1:12" ht="15">
      <c r="A5" s="53" t="s">
        <v>123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</row>
    <row r="6" spans="1:13" ht="12.75">
      <c r="A6" s="8" t="s">
        <v>381</v>
      </c>
      <c r="B6" s="8" t="s">
        <v>382</v>
      </c>
      <c r="C6" s="8" t="s">
        <v>146</v>
      </c>
      <c r="D6" s="8" t="str">
        <f>"0,7258"</f>
        <v>0,7258</v>
      </c>
      <c r="E6" s="8" t="s">
        <v>128</v>
      </c>
      <c r="F6" s="8" t="s">
        <v>74</v>
      </c>
      <c r="G6" s="10" t="s">
        <v>332</v>
      </c>
      <c r="H6" s="9" t="s">
        <v>332</v>
      </c>
      <c r="I6" s="10" t="s">
        <v>131</v>
      </c>
      <c r="J6" s="10"/>
      <c r="K6" s="8" t="str">
        <f>"60,0"</f>
        <v>60,0</v>
      </c>
      <c r="L6" s="9" t="str">
        <f>"43,5480"</f>
        <v>43,5480</v>
      </c>
      <c r="M6" s="8" t="s">
        <v>83</v>
      </c>
    </row>
    <row r="8" spans="1:12" ht="15">
      <c r="A8" s="55" t="s">
        <v>69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</row>
    <row r="9" spans="1:13" ht="12.75">
      <c r="A9" s="8" t="s">
        <v>384</v>
      </c>
      <c r="B9" s="8" t="s">
        <v>385</v>
      </c>
      <c r="C9" s="8" t="s">
        <v>259</v>
      </c>
      <c r="D9" s="8" t="str">
        <f>"0,6193"</f>
        <v>0,6193</v>
      </c>
      <c r="E9" s="8" t="s">
        <v>23</v>
      </c>
      <c r="F9" s="8" t="s">
        <v>74</v>
      </c>
      <c r="G9" s="10" t="s">
        <v>386</v>
      </c>
      <c r="H9" s="9" t="s">
        <v>386</v>
      </c>
      <c r="I9" s="9" t="s">
        <v>331</v>
      </c>
      <c r="J9" s="10"/>
      <c r="K9" s="8" t="str">
        <f>"52,5"</f>
        <v>52,5</v>
      </c>
      <c r="L9" s="9" t="str">
        <f>"32,5133"</f>
        <v>32,5133</v>
      </c>
      <c r="M9" s="8" t="s">
        <v>83</v>
      </c>
    </row>
    <row r="11" spans="1:12" ht="15">
      <c r="A11" s="55" t="s">
        <v>89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</row>
    <row r="12" spans="1:13" ht="12.75">
      <c r="A12" s="19" t="s">
        <v>388</v>
      </c>
      <c r="B12" s="19" t="s">
        <v>389</v>
      </c>
      <c r="C12" s="19" t="s">
        <v>390</v>
      </c>
      <c r="D12" s="19" t="str">
        <f>"0,5775"</f>
        <v>0,5775</v>
      </c>
      <c r="E12" s="19" t="s">
        <v>128</v>
      </c>
      <c r="F12" s="19" t="s">
        <v>74</v>
      </c>
      <c r="G12" s="21" t="s">
        <v>159</v>
      </c>
      <c r="H12" s="20" t="s">
        <v>358</v>
      </c>
      <c r="I12" s="20" t="s">
        <v>358</v>
      </c>
      <c r="J12" s="20"/>
      <c r="K12" s="19" t="str">
        <f>"70,0"</f>
        <v>70,0</v>
      </c>
      <c r="L12" s="21" t="str">
        <f>"40,4250"</f>
        <v>40,4250</v>
      </c>
      <c r="M12" s="19" t="s">
        <v>83</v>
      </c>
    </row>
    <row r="14" spans="5:6" ht="15">
      <c r="E14" s="11" t="s">
        <v>48</v>
      </c>
      <c r="F14" s="35" t="s">
        <v>526</v>
      </c>
    </row>
    <row r="15" spans="5:6" ht="15">
      <c r="E15" s="11" t="s">
        <v>49</v>
      </c>
      <c r="F15" s="35" t="s">
        <v>508</v>
      </c>
    </row>
    <row r="16" spans="5:6" ht="15">
      <c r="E16" s="11" t="s">
        <v>50</v>
      </c>
      <c r="F16" s="35" t="s">
        <v>523</v>
      </c>
    </row>
    <row r="17" spans="5:6" ht="15">
      <c r="E17" s="11" t="s">
        <v>51</v>
      </c>
      <c r="F17" s="35" t="s">
        <v>524</v>
      </c>
    </row>
    <row r="18" spans="5:6" ht="15">
      <c r="E18" s="11" t="s">
        <v>51</v>
      </c>
      <c r="F18" s="35" t="s">
        <v>525</v>
      </c>
    </row>
    <row r="19" ht="15">
      <c r="E19" s="11"/>
    </row>
    <row r="20" ht="15">
      <c r="E20" s="11"/>
    </row>
    <row r="22" spans="1:2" ht="18">
      <c r="A22" s="12" t="s">
        <v>52</v>
      </c>
      <c r="B22" s="12"/>
    </row>
    <row r="23" spans="1:2" ht="15">
      <c r="A23" s="13" t="s">
        <v>63</v>
      </c>
      <c r="B23" s="13"/>
    </row>
    <row r="24" spans="1:2" ht="14.25">
      <c r="A24" s="15"/>
      <c r="B24" s="16" t="s">
        <v>54</v>
      </c>
    </row>
    <row r="25" spans="1:5" ht="15">
      <c r="A25" s="17" t="s">
        <v>55</v>
      </c>
      <c r="B25" s="17" t="s">
        <v>56</v>
      </c>
      <c r="C25" s="17" t="s">
        <v>57</v>
      </c>
      <c r="D25" s="17" t="s">
        <v>58</v>
      </c>
      <c r="E25" s="17" t="s">
        <v>59</v>
      </c>
    </row>
    <row r="26" spans="1:5" ht="12.75">
      <c r="A26" s="14" t="s">
        <v>380</v>
      </c>
      <c r="B26" s="4" t="s">
        <v>54</v>
      </c>
      <c r="C26" s="4" t="s">
        <v>207</v>
      </c>
      <c r="D26" s="4" t="s">
        <v>332</v>
      </c>
      <c r="E26" s="18" t="s">
        <v>391</v>
      </c>
    </row>
    <row r="27" spans="1:5" ht="12.75">
      <c r="A27" s="14" t="s">
        <v>387</v>
      </c>
      <c r="B27" s="4" t="s">
        <v>54</v>
      </c>
      <c r="C27" s="4" t="s">
        <v>113</v>
      </c>
      <c r="D27" s="4" t="s">
        <v>159</v>
      </c>
      <c r="E27" s="18" t="s">
        <v>392</v>
      </c>
    </row>
    <row r="28" spans="1:5" ht="12.75">
      <c r="A28" s="14" t="s">
        <v>383</v>
      </c>
      <c r="B28" s="4" t="s">
        <v>54</v>
      </c>
      <c r="C28" s="4" t="s">
        <v>85</v>
      </c>
      <c r="D28" s="4" t="s">
        <v>331</v>
      </c>
      <c r="E28" s="18" t="s">
        <v>393</v>
      </c>
    </row>
  </sheetData>
  <sheetProtection/>
  <mergeCells count="14">
    <mergeCell ref="A11:L11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  <mergeCell ref="A5:L5"/>
    <mergeCell ref="A8:L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6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zoomScalePageLayoutView="0" workbookViewId="0" topLeftCell="A10">
      <selection activeCell="F31" sqref="F26:F31"/>
    </sheetView>
  </sheetViews>
  <sheetFormatPr defaultColWidth="9.00390625" defaultRowHeight="12.75"/>
  <cols>
    <col min="1" max="1" width="26.00390625" style="4" bestFit="1" customWidth="1"/>
    <col min="2" max="2" width="28.375" style="4" bestFit="1" customWidth="1"/>
    <col min="3" max="3" width="10.625" style="4" bestFit="1" customWidth="1"/>
    <col min="4" max="4" width="9.25390625" style="4" bestFit="1" customWidth="1"/>
    <col min="5" max="5" width="22.75390625" style="4" bestFit="1" customWidth="1"/>
    <col min="6" max="6" width="31.625" style="4" bestFit="1" customWidth="1"/>
    <col min="7" max="7" width="5.625" style="3" bestFit="1" customWidth="1"/>
    <col min="8" max="9" width="4.625" style="3" bestFit="1" customWidth="1"/>
    <col min="10" max="10" width="4.875" style="3" bestFit="1" customWidth="1"/>
    <col min="11" max="11" width="7.875" style="4" bestFit="1" customWidth="1"/>
    <col min="12" max="12" width="7.625" style="3" bestFit="1" customWidth="1"/>
    <col min="13" max="13" width="15.75390625" style="4" bestFit="1" customWidth="1"/>
    <col min="14" max="16384" width="9.125" style="3" customWidth="1"/>
  </cols>
  <sheetData>
    <row r="1" spans="1:13" s="2" customFormat="1" ht="28.5" customHeight="1">
      <c r="A1" s="54" t="s">
        <v>325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4"/>
    </row>
    <row r="2" spans="1:13" s="2" customFormat="1" ht="61.5" customHeight="1" thickBot="1">
      <c r="A2" s="45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s="1" customFormat="1" ht="12.75" customHeight="1">
      <c r="A3" s="48" t="s">
        <v>0</v>
      </c>
      <c r="B3" s="50" t="s">
        <v>10</v>
      </c>
      <c r="C3" s="50" t="s">
        <v>11</v>
      </c>
      <c r="D3" s="52" t="s">
        <v>14</v>
      </c>
      <c r="E3" s="52" t="s">
        <v>7</v>
      </c>
      <c r="F3" s="52" t="s">
        <v>12</v>
      </c>
      <c r="G3" s="52" t="s">
        <v>326</v>
      </c>
      <c r="H3" s="52"/>
      <c r="I3" s="52"/>
      <c r="J3" s="52"/>
      <c r="K3" s="52" t="s">
        <v>118</v>
      </c>
      <c r="L3" s="52" t="s">
        <v>6</v>
      </c>
      <c r="M3" s="40" t="s">
        <v>5</v>
      </c>
    </row>
    <row r="4" spans="1:13" s="1" customFormat="1" ht="21" customHeight="1" thickBot="1">
      <c r="A4" s="49"/>
      <c r="B4" s="51"/>
      <c r="C4" s="51"/>
      <c r="D4" s="51"/>
      <c r="E4" s="51"/>
      <c r="F4" s="51"/>
      <c r="G4" s="7">
        <v>1</v>
      </c>
      <c r="H4" s="7">
        <v>2</v>
      </c>
      <c r="I4" s="7">
        <v>3</v>
      </c>
      <c r="J4" s="7" t="s">
        <v>8</v>
      </c>
      <c r="K4" s="51"/>
      <c r="L4" s="51"/>
      <c r="M4" s="41"/>
    </row>
    <row r="5" spans="1:12" ht="15">
      <c r="A5" s="53" t="s">
        <v>123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</row>
    <row r="6" spans="1:13" ht="12.75">
      <c r="A6" s="19" t="s">
        <v>328</v>
      </c>
      <c r="B6" s="19" t="s">
        <v>329</v>
      </c>
      <c r="C6" s="19" t="s">
        <v>330</v>
      </c>
      <c r="D6" s="19" t="str">
        <f>"0,7317"</f>
        <v>0,7317</v>
      </c>
      <c r="E6" s="19" t="s">
        <v>128</v>
      </c>
      <c r="F6" s="19" t="s">
        <v>74</v>
      </c>
      <c r="G6" s="21" t="s">
        <v>29</v>
      </c>
      <c r="H6" s="21" t="s">
        <v>331</v>
      </c>
      <c r="I6" s="21" t="s">
        <v>332</v>
      </c>
      <c r="J6" s="20"/>
      <c r="K6" s="19" t="str">
        <f>"60,0"</f>
        <v>60,0</v>
      </c>
      <c r="L6" s="21" t="str">
        <f>"44,7800"</f>
        <v>44,7800</v>
      </c>
      <c r="M6" s="19" t="s">
        <v>83</v>
      </c>
    </row>
    <row r="7" spans="1:13" ht="12.75">
      <c r="A7" s="22" t="s">
        <v>328</v>
      </c>
      <c r="B7" s="22" t="s">
        <v>333</v>
      </c>
      <c r="C7" s="22" t="s">
        <v>330</v>
      </c>
      <c r="D7" s="22" t="str">
        <f>"0,7317"</f>
        <v>0,7317</v>
      </c>
      <c r="E7" s="22" t="s">
        <v>128</v>
      </c>
      <c r="F7" s="22" t="s">
        <v>74</v>
      </c>
      <c r="G7" s="24" t="s">
        <v>29</v>
      </c>
      <c r="H7" s="24" t="s">
        <v>331</v>
      </c>
      <c r="I7" s="24" t="s">
        <v>332</v>
      </c>
      <c r="J7" s="23"/>
      <c r="K7" s="22" t="str">
        <f>"60,0"</f>
        <v>60,0</v>
      </c>
      <c r="L7" s="24" t="str">
        <f>"43,9020"</f>
        <v>43,9020</v>
      </c>
      <c r="M7" s="22" t="s">
        <v>83</v>
      </c>
    </row>
    <row r="9" spans="1:12" ht="15">
      <c r="A9" s="55" t="s">
        <v>34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</row>
    <row r="10" spans="1:13" ht="12.75">
      <c r="A10" s="8" t="s">
        <v>335</v>
      </c>
      <c r="B10" s="8" t="s">
        <v>336</v>
      </c>
      <c r="C10" s="8" t="s">
        <v>244</v>
      </c>
      <c r="D10" s="8" t="str">
        <f>"0,6701"</f>
        <v>0,6701</v>
      </c>
      <c r="E10" s="8" t="s">
        <v>128</v>
      </c>
      <c r="F10" s="8" t="s">
        <v>74</v>
      </c>
      <c r="G10" s="9" t="s">
        <v>331</v>
      </c>
      <c r="H10" s="9" t="s">
        <v>129</v>
      </c>
      <c r="I10" s="9" t="s">
        <v>332</v>
      </c>
      <c r="J10" s="10"/>
      <c r="K10" s="8" t="str">
        <f>"60,0"</f>
        <v>60,0</v>
      </c>
      <c r="L10" s="9" t="str">
        <f>"40,6081"</f>
        <v>40,6081</v>
      </c>
      <c r="M10" s="8" t="s">
        <v>83</v>
      </c>
    </row>
    <row r="12" spans="1:12" ht="15">
      <c r="A12" s="55" t="s">
        <v>69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</row>
    <row r="13" spans="1:13" ht="12.75">
      <c r="A13" s="19" t="s">
        <v>283</v>
      </c>
      <c r="B13" s="19" t="s">
        <v>284</v>
      </c>
      <c r="C13" s="19" t="s">
        <v>285</v>
      </c>
      <c r="D13" s="19" t="str">
        <f>"0,6214"</f>
        <v>0,6214</v>
      </c>
      <c r="E13" s="19" t="s">
        <v>128</v>
      </c>
      <c r="F13" s="19" t="s">
        <v>286</v>
      </c>
      <c r="G13" s="21" t="s">
        <v>337</v>
      </c>
      <c r="H13" s="21" t="s">
        <v>130</v>
      </c>
      <c r="I13" s="20" t="s">
        <v>338</v>
      </c>
      <c r="J13" s="20"/>
      <c r="K13" s="19" t="str">
        <f>"62,5"</f>
        <v>62,5</v>
      </c>
      <c r="L13" s="21" t="str">
        <f>"40,3910"</f>
        <v>40,3910</v>
      </c>
      <c r="M13" s="19" t="s">
        <v>289</v>
      </c>
    </row>
    <row r="14" spans="1:13" ht="12.75">
      <c r="A14" s="25" t="s">
        <v>340</v>
      </c>
      <c r="B14" s="25" t="s">
        <v>341</v>
      </c>
      <c r="C14" s="25" t="s">
        <v>342</v>
      </c>
      <c r="D14" s="25" t="str">
        <f>"0,6399"</f>
        <v>0,6399</v>
      </c>
      <c r="E14" s="25" t="s">
        <v>23</v>
      </c>
      <c r="F14" s="25" t="s">
        <v>74</v>
      </c>
      <c r="G14" s="27" t="s">
        <v>343</v>
      </c>
      <c r="H14" s="26" t="s">
        <v>332</v>
      </c>
      <c r="I14" s="26" t="s">
        <v>332</v>
      </c>
      <c r="J14" s="26"/>
      <c r="K14" s="25" t="str">
        <f>"57,5"</f>
        <v>57,5</v>
      </c>
      <c r="L14" s="27" t="str">
        <f>"37,8981"</f>
        <v>37,8981</v>
      </c>
      <c r="M14" s="25" t="s">
        <v>344</v>
      </c>
    </row>
    <row r="15" spans="1:13" ht="12.75">
      <c r="A15" s="25" t="s">
        <v>283</v>
      </c>
      <c r="B15" s="25" t="s">
        <v>290</v>
      </c>
      <c r="C15" s="25" t="s">
        <v>285</v>
      </c>
      <c r="D15" s="25" t="str">
        <f>"0,6214"</f>
        <v>0,6214</v>
      </c>
      <c r="E15" s="25" t="s">
        <v>128</v>
      </c>
      <c r="F15" s="25" t="s">
        <v>286</v>
      </c>
      <c r="G15" s="27" t="s">
        <v>337</v>
      </c>
      <c r="H15" s="27" t="s">
        <v>130</v>
      </c>
      <c r="I15" s="26" t="s">
        <v>338</v>
      </c>
      <c r="J15" s="26"/>
      <c r="K15" s="25" t="str">
        <f>"62,5"</f>
        <v>62,5</v>
      </c>
      <c r="L15" s="27" t="str">
        <f>"38,8375"</f>
        <v>38,8375</v>
      </c>
      <c r="M15" s="25" t="s">
        <v>289</v>
      </c>
    </row>
    <row r="16" spans="1:13" ht="12.75">
      <c r="A16" s="25" t="s">
        <v>292</v>
      </c>
      <c r="B16" s="25" t="s">
        <v>293</v>
      </c>
      <c r="C16" s="25" t="s">
        <v>294</v>
      </c>
      <c r="D16" s="25" t="str">
        <f>"0,6412"</f>
        <v>0,6412</v>
      </c>
      <c r="E16" s="25" t="s">
        <v>128</v>
      </c>
      <c r="F16" s="25" t="s">
        <v>74</v>
      </c>
      <c r="G16" s="27" t="s">
        <v>337</v>
      </c>
      <c r="H16" s="27" t="s">
        <v>129</v>
      </c>
      <c r="I16" s="27" t="s">
        <v>332</v>
      </c>
      <c r="J16" s="26"/>
      <c r="K16" s="25" t="str">
        <f>"60,0"</f>
        <v>60,0</v>
      </c>
      <c r="L16" s="27" t="str">
        <f>"38,4720"</f>
        <v>38,4720</v>
      </c>
      <c r="M16" s="25" t="s">
        <v>83</v>
      </c>
    </row>
    <row r="17" spans="1:13" ht="12.75">
      <c r="A17" s="22" t="s">
        <v>345</v>
      </c>
      <c r="B17" s="22" t="s">
        <v>346</v>
      </c>
      <c r="C17" s="22" t="s">
        <v>342</v>
      </c>
      <c r="D17" s="22" t="str">
        <f>"0,6399"</f>
        <v>0,6399</v>
      </c>
      <c r="E17" s="22" t="s">
        <v>23</v>
      </c>
      <c r="F17" s="22" t="s">
        <v>74</v>
      </c>
      <c r="G17" s="24" t="s">
        <v>343</v>
      </c>
      <c r="H17" s="23" t="s">
        <v>332</v>
      </c>
      <c r="I17" s="23" t="s">
        <v>332</v>
      </c>
      <c r="J17" s="23"/>
      <c r="K17" s="22" t="str">
        <f>"57,5"</f>
        <v>57,5</v>
      </c>
      <c r="L17" s="24" t="str">
        <f>"36,7943"</f>
        <v>36,7943</v>
      </c>
      <c r="M17" s="22" t="s">
        <v>344</v>
      </c>
    </row>
    <row r="19" spans="1:12" ht="15">
      <c r="A19" s="55" t="s">
        <v>162</v>
      </c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</row>
    <row r="20" spans="1:13" ht="12.75">
      <c r="A20" s="8" t="s">
        <v>348</v>
      </c>
      <c r="B20" s="8" t="s">
        <v>349</v>
      </c>
      <c r="C20" s="8" t="s">
        <v>350</v>
      </c>
      <c r="D20" s="8" t="str">
        <f>"0,5885"</f>
        <v>0,5885</v>
      </c>
      <c r="E20" s="8" t="s">
        <v>23</v>
      </c>
      <c r="F20" s="8" t="s">
        <v>351</v>
      </c>
      <c r="G20" s="9" t="s">
        <v>352</v>
      </c>
      <c r="H20" s="10" t="s">
        <v>130</v>
      </c>
      <c r="I20" s="10" t="s">
        <v>130</v>
      </c>
      <c r="J20" s="10"/>
      <c r="K20" s="8" t="str">
        <f>"55,0"</f>
        <v>55,0</v>
      </c>
      <c r="L20" s="9" t="str">
        <f>"32,3675"</f>
        <v>32,3675</v>
      </c>
      <c r="M20" s="8" t="s">
        <v>353</v>
      </c>
    </row>
    <row r="22" spans="1:12" ht="15">
      <c r="A22" s="55" t="s">
        <v>103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</row>
    <row r="23" spans="1:13" ht="12.75">
      <c r="A23" s="19" t="s">
        <v>355</v>
      </c>
      <c r="B23" s="19" t="s">
        <v>356</v>
      </c>
      <c r="C23" s="19" t="s">
        <v>357</v>
      </c>
      <c r="D23" s="19" t="str">
        <f>"0,5265"</f>
        <v>0,5265</v>
      </c>
      <c r="E23" s="19" t="s">
        <v>39</v>
      </c>
      <c r="F23" s="19" t="s">
        <v>40</v>
      </c>
      <c r="G23" s="21" t="s">
        <v>159</v>
      </c>
      <c r="H23" s="21" t="s">
        <v>358</v>
      </c>
      <c r="I23" s="21" t="s">
        <v>359</v>
      </c>
      <c r="J23" s="20" t="s">
        <v>360</v>
      </c>
      <c r="K23" s="19" t="str">
        <f>"87,5"</f>
        <v>87,5</v>
      </c>
      <c r="L23" s="21" t="str">
        <f>"46,0687"</f>
        <v>46,0687</v>
      </c>
      <c r="M23" s="19" t="s">
        <v>361</v>
      </c>
    </row>
    <row r="24" spans="1:13" ht="12.75">
      <c r="A24" s="22" t="s">
        <v>363</v>
      </c>
      <c r="B24" s="22" t="s">
        <v>364</v>
      </c>
      <c r="C24" s="22" t="s">
        <v>365</v>
      </c>
      <c r="D24" s="22" t="str">
        <f>"0,5260"</f>
        <v>0,5260</v>
      </c>
      <c r="E24" s="22" t="s">
        <v>23</v>
      </c>
      <c r="F24" s="22" t="s">
        <v>74</v>
      </c>
      <c r="G24" s="24" t="s">
        <v>25</v>
      </c>
      <c r="H24" s="23" t="s">
        <v>359</v>
      </c>
      <c r="I24" s="23" t="s">
        <v>359</v>
      </c>
      <c r="J24" s="23"/>
      <c r="K24" s="22" t="str">
        <f>"85,0"</f>
        <v>85,0</v>
      </c>
      <c r="L24" s="24" t="str">
        <f>"44,7100"</f>
        <v>44,7100</v>
      </c>
      <c r="M24" s="22" t="s">
        <v>366</v>
      </c>
    </row>
    <row r="26" spans="5:6" ht="15">
      <c r="E26" s="11" t="s">
        <v>48</v>
      </c>
      <c r="F26" s="35" t="s">
        <v>526</v>
      </c>
    </row>
    <row r="27" spans="5:6" ht="15">
      <c r="E27" s="11" t="s">
        <v>49</v>
      </c>
      <c r="F27" s="35" t="s">
        <v>508</v>
      </c>
    </row>
    <row r="28" spans="5:6" ht="15">
      <c r="E28" s="11" t="s">
        <v>50</v>
      </c>
      <c r="F28" s="35" t="s">
        <v>523</v>
      </c>
    </row>
    <row r="29" spans="5:6" ht="15">
      <c r="E29" s="11" t="s">
        <v>51</v>
      </c>
      <c r="F29" s="35" t="s">
        <v>524</v>
      </c>
    </row>
    <row r="30" spans="5:6" ht="15">
      <c r="E30" s="11" t="s">
        <v>51</v>
      </c>
      <c r="F30" s="35" t="s">
        <v>525</v>
      </c>
    </row>
    <row r="31" ht="15">
      <c r="E31" s="11"/>
    </row>
    <row r="32" ht="15">
      <c r="E32" s="11"/>
    </row>
    <row r="34" spans="1:2" ht="18">
      <c r="A34" s="12" t="s">
        <v>52</v>
      </c>
      <c r="B34" s="12"/>
    </row>
    <row r="35" spans="1:2" ht="15">
      <c r="A35" s="13" t="s">
        <v>63</v>
      </c>
      <c r="B35" s="13"/>
    </row>
    <row r="36" spans="1:2" ht="14.25">
      <c r="A36" s="15"/>
      <c r="B36" s="16" t="s">
        <v>64</v>
      </c>
    </row>
    <row r="37" spans="1:5" ht="15">
      <c r="A37" s="17" t="s">
        <v>55</v>
      </c>
      <c r="B37" s="17" t="s">
        <v>56</v>
      </c>
      <c r="C37" s="17" t="s">
        <v>57</v>
      </c>
      <c r="D37" s="17" t="s">
        <v>58</v>
      </c>
      <c r="E37" s="17" t="s">
        <v>59</v>
      </c>
    </row>
    <row r="38" spans="1:5" ht="12.75">
      <c r="A38" s="14" t="s">
        <v>282</v>
      </c>
      <c r="B38" s="4" t="s">
        <v>64</v>
      </c>
      <c r="C38" s="4" t="s">
        <v>85</v>
      </c>
      <c r="D38" s="4" t="s">
        <v>130</v>
      </c>
      <c r="E38" s="18" t="s">
        <v>367</v>
      </c>
    </row>
    <row r="40" spans="1:2" ht="14.25">
      <c r="A40" s="15"/>
      <c r="B40" s="16" t="s">
        <v>213</v>
      </c>
    </row>
    <row r="41" spans="1:5" ht="15">
      <c r="A41" s="17" t="s">
        <v>55</v>
      </c>
      <c r="B41" s="17" t="s">
        <v>56</v>
      </c>
      <c r="C41" s="17" t="s">
        <v>57</v>
      </c>
      <c r="D41" s="17" t="s">
        <v>58</v>
      </c>
      <c r="E41" s="17" t="s">
        <v>59</v>
      </c>
    </row>
    <row r="42" spans="1:5" ht="12.75">
      <c r="A42" s="14" t="s">
        <v>327</v>
      </c>
      <c r="B42" s="4" t="s">
        <v>213</v>
      </c>
      <c r="C42" s="4" t="s">
        <v>207</v>
      </c>
      <c r="D42" s="4" t="s">
        <v>332</v>
      </c>
      <c r="E42" s="18" t="s">
        <v>368</v>
      </c>
    </row>
    <row r="43" spans="1:5" ht="12.75">
      <c r="A43" s="14" t="s">
        <v>334</v>
      </c>
      <c r="B43" s="4" t="s">
        <v>213</v>
      </c>
      <c r="C43" s="4" t="s">
        <v>65</v>
      </c>
      <c r="D43" s="4" t="s">
        <v>332</v>
      </c>
      <c r="E43" s="18" t="s">
        <v>369</v>
      </c>
    </row>
    <row r="44" spans="1:5" ht="12.75">
      <c r="A44" s="14" t="s">
        <v>339</v>
      </c>
      <c r="B44" s="4" t="s">
        <v>213</v>
      </c>
      <c r="C44" s="4" t="s">
        <v>85</v>
      </c>
      <c r="D44" s="4" t="s">
        <v>129</v>
      </c>
      <c r="E44" s="18" t="s">
        <v>370</v>
      </c>
    </row>
    <row r="46" spans="1:2" ht="14.25">
      <c r="A46" s="15"/>
      <c r="B46" s="16" t="s">
        <v>54</v>
      </c>
    </row>
    <row r="47" spans="1:5" ht="15">
      <c r="A47" s="17" t="s">
        <v>55</v>
      </c>
      <c r="B47" s="17" t="s">
        <v>56</v>
      </c>
      <c r="C47" s="17" t="s">
        <v>57</v>
      </c>
      <c r="D47" s="17" t="s">
        <v>58</v>
      </c>
      <c r="E47" s="17" t="s">
        <v>59</v>
      </c>
    </row>
    <row r="48" spans="1:5" ht="12.75">
      <c r="A48" s="14" t="s">
        <v>354</v>
      </c>
      <c r="B48" s="4" t="s">
        <v>54</v>
      </c>
      <c r="C48" s="4" t="s">
        <v>116</v>
      </c>
      <c r="D48" s="4" t="s">
        <v>359</v>
      </c>
      <c r="E48" s="18" t="s">
        <v>371</v>
      </c>
    </row>
    <row r="49" spans="1:5" ht="12.75">
      <c r="A49" s="14" t="s">
        <v>362</v>
      </c>
      <c r="B49" s="4" t="s">
        <v>54</v>
      </c>
      <c r="C49" s="4" t="s">
        <v>116</v>
      </c>
      <c r="D49" s="4" t="s">
        <v>372</v>
      </c>
      <c r="E49" s="18" t="s">
        <v>373</v>
      </c>
    </row>
    <row r="50" spans="1:5" ht="12.75">
      <c r="A50" s="14" t="s">
        <v>327</v>
      </c>
      <c r="B50" s="4" t="s">
        <v>54</v>
      </c>
      <c r="C50" s="4" t="s">
        <v>207</v>
      </c>
      <c r="D50" s="4" t="s">
        <v>332</v>
      </c>
      <c r="E50" s="18" t="s">
        <v>374</v>
      </c>
    </row>
    <row r="51" spans="1:5" ht="12.75">
      <c r="A51" s="14" t="s">
        <v>282</v>
      </c>
      <c r="B51" s="4" t="s">
        <v>54</v>
      </c>
      <c r="C51" s="4" t="s">
        <v>85</v>
      </c>
      <c r="D51" s="4" t="s">
        <v>130</v>
      </c>
      <c r="E51" s="18" t="s">
        <v>375</v>
      </c>
    </row>
    <row r="52" spans="1:5" ht="12.75">
      <c r="A52" s="14" t="s">
        <v>291</v>
      </c>
      <c r="B52" s="4" t="s">
        <v>54</v>
      </c>
      <c r="C52" s="4" t="s">
        <v>85</v>
      </c>
      <c r="D52" s="4" t="s">
        <v>332</v>
      </c>
      <c r="E52" s="18" t="s">
        <v>376</v>
      </c>
    </row>
    <row r="53" spans="1:5" ht="12.75">
      <c r="A53" s="14" t="s">
        <v>339</v>
      </c>
      <c r="B53" s="4" t="s">
        <v>54</v>
      </c>
      <c r="C53" s="4" t="s">
        <v>85</v>
      </c>
      <c r="D53" s="4" t="s">
        <v>129</v>
      </c>
      <c r="E53" s="18" t="s">
        <v>377</v>
      </c>
    </row>
    <row r="54" spans="1:5" ht="12.75">
      <c r="A54" s="14" t="s">
        <v>347</v>
      </c>
      <c r="B54" s="4" t="s">
        <v>54</v>
      </c>
      <c r="C54" s="4" t="s">
        <v>224</v>
      </c>
      <c r="D54" s="4" t="s">
        <v>337</v>
      </c>
      <c r="E54" s="18" t="s">
        <v>378</v>
      </c>
    </row>
  </sheetData>
  <sheetProtection/>
  <mergeCells count="16">
    <mergeCell ref="A19:L19"/>
    <mergeCell ref="A22:L22"/>
    <mergeCell ref="K3:K4"/>
    <mergeCell ref="L3:L4"/>
    <mergeCell ref="M3:M4"/>
    <mergeCell ref="A5:L5"/>
    <mergeCell ref="A9:L9"/>
    <mergeCell ref="A12:L12"/>
    <mergeCell ref="A1:M2"/>
    <mergeCell ref="A3:A4"/>
    <mergeCell ref="B3:B4"/>
    <mergeCell ref="C3:C4"/>
    <mergeCell ref="D3:D4"/>
    <mergeCell ref="E3:E4"/>
    <mergeCell ref="F3:F4"/>
    <mergeCell ref="G3:J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5:Q15"/>
  <sheetViews>
    <sheetView zoomScalePageLayoutView="0" workbookViewId="0" topLeftCell="A1">
      <selection activeCell="F15" sqref="A1:Q15"/>
    </sheetView>
  </sheetViews>
  <sheetFormatPr defaultColWidth="9.00390625" defaultRowHeight="12.75"/>
  <cols>
    <col min="1" max="1" width="26.00390625" style="4" bestFit="1" customWidth="1"/>
    <col min="2" max="2" width="26.25390625" style="4" bestFit="1" customWidth="1"/>
    <col min="3" max="3" width="9.75390625" style="4" bestFit="1" customWidth="1"/>
    <col min="4" max="4" width="6.625" style="4" bestFit="1" customWidth="1"/>
    <col min="5" max="5" width="22.75390625" style="4" bestFit="1" customWidth="1"/>
    <col min="6" max="6" width="17.25390625" style="4" bestFit="1" customWidth="1"/>
    <col min="7" max="9" width="2.125" style="3" bestFit="1" customWidth="1"/>
    <col min="10" max="10" width="4.875" style="3" bestFit="1" customWidth="1"/>
    <col min="11" max="13" width="2.125" style="3" bestFit="1" customWidth="1"/>
    <col min="14" max="14" width="4.875" style="3" bestFit="1" customWidth="1"/>
    <col min="15" max="15" width="7.875" style="4" bestFit="1" customWidth="1"/>
    <col min="16" max="16" width="6.375" style="3" bestFit="1" customWidth="1"/>
    <col min="17" max="17" width="8.875" style="4" bestFit="1" customWidth="1"/>
    <col min="18" max="16384" width="9.125" style="3" customWidth="1"/>
  </cols>
  <sheetData>
    <row r="1" s="2" customFormat="1" ht="28.5" customHeight="1"/>
    <row r="2" s="2" customFormat="1" ht="61.5" customHeight="1"/>
    <row r="3" s="1" customFormat="1" ht="12.75" customHeight="1"/>
    <row r="4" s="1" customFormat="1" ht="21" customHeight="1"/>
    <row r="5" spans="1:17" ht="12.75">
      <c r="A5" s="3"/>
      <c r="B5" s="3"/>
      <c r="C5" s="3"/>
      <c r="D5" s="3"/>
      <c r="E5" s="3"/>
      <c r="F5" s="3"/>
      <c r="O5" s="3"/>
      <c r="Q5" s="3"/>
    </row>
    <row r="6" spans="1:17" ht="12.75">
      <c r="A6" s="3"/>
      <c r="B6" s="3"/>
      <c r="C6" s="3"/>
      <c r="D6" s="3"/>
      <c r="E6" s="3"/>
      <c r="F6" s="3"/>
      <c r="O6" s="3"/>
      <c r="Q6" s="3"/>
    </row>
    <row r="7" spans="1:17" ht="12.75">
      <c r="A7" s="3"/>
      <c r="B7" s="3"/>
      <c r="C7" s="3"/>
      <c r="D7" s="3"/>
      <c r="E7" s="3"/>
      <c r="F7" s="3"/>
      <c r="O7" s="3"/>
      <c r="Q7" s="3"/>
    </row>
    <row r="8" spans="1:17" ht="12.75">
      <c r="A8" s="3"/>
      <c r="B8" s="3"/>
      <c r="C8" s="3"/>
      <c r="D8" s="3"/>
      <c r="E8" s="3"/>
      <c r="F8" s="3"/>
      <c r="O8" s="3"/>
      <c r="Q8" s="3"/>
    </row>
    <row r="9" spans="1:17" ht="12.75">
      <c r="A9" s="3"/>
      <c r="B9" s="3"/>
      <c r="C9" s="3"/>
      <c r="D9" s="3"/>
      <c r="E9" s="3"/>
      <c r="F9" s="3"/>
      <c r="O9" s="3"/>
      <c r="Q9" s="3"/>
    </row>
    <row r="10" spans="1:17" ht="12.75">
      <c r="A10" s="3"/>
      <c r="B10" s="3"/>
      <c r="C10" s="3"/>
      <c r="D10" s="3"/>
      <c r="E10" s="3"/>
      <c r="F10" s="3"/>
      <c r="O10" s="3"/>
      <c r="Q10" s="3"/>
    </row>
    <row r="11" spans="1:17" ht="12.75">
      <c r="A11" s="3"/>
      <c r="B11" s="3"/>
      <c r="C11" s="3"/>
      <c r="D11" s="3"/>
      <c r="E11" s="3"/>
      <c r="F11" s="3"/>
      <c r="O11" s="3"/>
      <c r="Q11" s="3"/>
    </row>
    <row r="12" spans="1:17" ht="12.75">
      <c r="A12" s="3"/>
      <c r="B12" s="3"/>
      <c r="C12" s="3"/>
      <c r="D12" s="3"/>
      <c r="E12" s="3"/>
      <c r="F12" s="3"/>
      <c r="O12" s="3"/>
      <c r="Q12" s="3"/>
    </row>
    <row r="13" spans="1:17" ht="12.75">
      <c r="A13" s="3"/>
      <c r="B13" s="3"/>
      <c r="C13" s="3"/>
      <c r="D13" s="3"/>
      <c r="E13" s="3"/>
      <c r="F13" s="3"/>
      <c r="O13" s="3"/>
      <c r="Q13" s="3"/>
    </row>
    <row r="14" spans="1:17" ht="12.75">
      <c r="A14" s="3"/>
      <c r="B14" s="3"/>
      <c r="C14" s="3"/>
      <c r="D14" s="3"/>
      <c r="E14" s="3"/>
      <c r="F14" s="3"/>
      <c r="O14" s="3"/>
      <c r="Q14" s="3"/>
    </row>
    <row r="15" spans="1:17" ht="12.75">
      <c r="A15" s="3"/>
      <c r="B15" s="3"/>
      <c r="C15" s="3"/>
      <c r="D15" s="3"/>
      <c r="E15" s="3"/>
      <c r="F15" s="3"/>
      <c r="O15" s="3"/>
      <c r="Q15" s="3"/>
    </row>
  </sheetData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zoomScalePageLayoutView="0" workbookViewId="0" topLeftCell="A1">
      <selection activeCell="F13" sqref="F8:F13"/>
    </sheetView>
  </sheetViews>
  <sheetFormatPr defaultColWidth="9.00390625" defaultRowHeight="12.75"/>
  <cols>
    <col min="1" max="1" width="26.00390625" style="4" bestFit="1" customWidth="1"/>
    <col min="2" max="2" width="27.75390625" style="4" bestFit="1" customWidth="1"/>
    <col min="3" max="3" width="10.625" style="4" bestFit="1" customWidth="1"/>
    <col min="4" max="4" width="9.25390625" style="4" bestFit="1" customWidth="1"/>
    <col min="5" max="5" width="22.75390625" style="4" bestFit="1" customWidth="1"/>
    <col min="6" max="6" width="33.375" style="4" bestFit="1" customWidth="1"/>
    <col min="7" max="7" width="6.625" style="3" bestFit="1" customWidth="1"/>
    <col min="8" max="9" width="5.625" style="3" bestFit="1" customWidth="1"/>
    <col min="10" max="10" width="4.875" style="3" bestFit="1" customWidth="1"/>
    <col min="11" max="11" width="7.875" style="4" bestFit="1" customWidth="1"/>
    <col min="12" max="12" width="8.625" style="3" bestFit="1" customWidth="1"/>
    <col min="13" max="13" width="11.875" style="4" bestFit="1" customWidth="1"/>
    <col min="14" max="16384" width="9.125" style="3" customWidth="1"/>
  </cols>
  <sheetData>
    <row r="1" spans="1:13" s="2" customFormat="1" ht="28.5" customHeight="1">
      <c r="A1" s="54" t="s">
        <v>317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4"/>
    </row>
    <row r="2" spans="1:13" s="2" customFormat="1" ht="61.5" customHeight="1" thickBot="1">
      <c r="A2" s="45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s="1" customFormat="1" ht="12.75" customHeight="1">
      <c r="A3" s="48" t="s">
        <v>0</v>
      </c>
      <c r="B3" s="50" t="s">
        <v>10</v>
      </c>
      <c r="C3" s="50" t="s">
        <v>11</v>
      </c>
      <c r="D3" s="52" t="s">
        <v>14</v>
      </c>
      <c r="E3" s="52" t="s">
        <v>7</v>
      </c>
      <c r="F3" s="52" t="s">
        <v>12</v>
      </c>
      <c r="G3" s="52" t="s">
        <v>17</v>
      </c>
      <c r="H3" s="52"/>
      <c r="I3" s="52"/>
      <c r="J3" s="52"/>
      <c r="K3" s="52" t="s">
        <v>118</v>
      </c>
      <c r="L3" s="52" t="s">
        <v>6</v>
      </c>
      <c r="M3" s="40" t="s">
        <v>5</v>
      </c>
    </row>
    <row r="4" spans="1:13" s="1" customFormat="1" ht="21" customHeight="1" thickBot="1">
      <c r="A4" s="49"/>
      <c r="B4" s="51"/>
      <c r="C4" s="51"/>
      <c r="D4" s="51"/>
      <c r="E4" s="51"/>
      <c r="F4" s="51"/>
      <c r="G4" s="7">
        <v>1</v>
      </c>
      <c r="H4" s="7">
        <v>2</v>
      </c>
      <c r="I4" s="7">
        <v>3</v>
      </c>
      <c r="J4" s="7" t="s">
        <v>8</v>
      </c>
      <c r="K4" s="51"/>
      <c r="L4" s="51"/>
      <c r="M4" s="41"/>
    </row>
    <row r="5" spans="1:12" ht="15">
      <c r="A5" s="53" t="s">
        <v>123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</row>
    <row r="6" spans="1:13" ht="12.75">
      <c r="A6" s="8" t="s">
        <v>319</v>
      </c>
      <c r="B6" s="8" t="s">
        <v>320</v>
      </c>
      <c r="C6" s="8" t="s">
        <v>321</v>
      </c>
      <c r="D6" s="8" t="str">
        <f>"0,7568"</f>
        <v>0,7568</v>
      </c>
      <c r="E6" s="8" t="s">
        <v>120</v>
      </c>
      <c r="F6" s="8" t="s">
        <v>254</v>
      </c>
      <c r="G6" s="9" t="s">
        <v>202</v>
      </c>
      <c r="H6" s="10" t="s">
        <v>221</v>
      </c>
      <c r="I6" s="10" t="s">
        <v>221</v>
      </c>
      <c r="J6" s="10"/>
      <c r="K6" s="8" t="str">
        <f>"160,0"</f>
        <v>160,0</v>
      </c>
      <c r="L6" s="9" t="str">
        <f>"130,7750"</f>
        <v>130,7750</v>
      </c>
      <c r="M6" s="8" t="s">
        <v>322</v>
      </c>
    </row>
    <row r="8" spans="5:6" ht="15">
      <c r="E8" s="11" t="s">
        <v>48</v>
      </c>
      <c r="F8" s="35" t="s">
        <v>526</v>
      </c>
    </row>
    <row r="9" spans="5:6" ht="15">
      <c r="E9" s="11" t="s">
        <v>49</v>
      </c>
      <c r="F9" s="35" t="s">
        <v>508</v>
      </c>
    </row>
    <row r="10" spans="5:6" ht="15">
      <c r="E10" s="11" t="s">
        <v>50</v>
      </c>
      <c r="F10" s="35" t="s">
        <v>523</v>
      </c>
    </row>
    <row r="11" spans="5:6" ht="15">
      <c r="E11" s="11" t="s">
        <v>51</v>
      </c>
      <c r="F11" s="35" t="s">
        <v>524</v>
      </c>
    </row>
    <row r="12" spans="5:6" ht="15">
      <c r="E12" s="11" t="s">
        <v>51</v>
      </c>
      <c r="F12" s="35" t="s">
        <v>525</v>
      </c>
    </row>
    <row r="13" ht="15">
      <c r="E13" s="11"/>
    </row>
    <row r="14" ht="15">
      <c r="E14" s="11"/>
    </row>
    <row r="16" spans="1:2" ht="18">
      <c r="A16" s="12" t="s">
        <v>52</v>
      </c>
      <c r="B16" s="12"/>
    </row>
    <row r="17" spans="1:2" ht="15">
      <c r="A17" s="13" t="s">
        <v>63</v>
      </c>
      <c r="B17" s="13"/>
    </row>
    <row r="18" spans="1:2" ht="14.25">
      <c r="A18" s="15"/>
      <c r="B18" s="16" t="s">
        <v>323</v>
      </c>
    </row>
    <row r="19" spans="1:5" ht="15">
      <c r="A19" s="17" t="s">
        <v>55</v>
      </c>
      <c r="B19" s="17" t="s">
        <v>56</v>
      </c>
      <c r="C19" s="17" t="s">
        <v>57</v>
      </c>
      <c r="D19" s="17" t="s">
        <v>58</v>
      </c>
      <c r="E19" s="17" t="s">
        <v>59</v>
      </c>
    </row>
    <row r="20" spans="1:5" ht="12.75">
      <c r="A20" s="14" t="s">
        <v>318</v>
      </c>
      <c r="B20" s="4" t="s">
        <v>323</v>
      </c>
      <c r="C20" s="4" t="s">
        <v>207</v>
      </c>
      <c r="D20" s="4" t="s">
        <v>201</v>
      </c>
      <c r="E20" s="18" t="s">
        <v>324</v>
      </c>
    </row>
  </sheetData>
  <sheetProtection/>
  <mergeCells count="12">
    <mergeCell ref="K3:K4"/>
    <mergeCell ref="L3:L4"/>
    <mergeCell ref="M3:M4"/>
    <mergeCell ref="A5:L5"/>
    <mergeCell ref="A1:M2"/>
    <mergeCell ref="A3:A4"/>
    <mergeCell ref="B3:B4"/>
    <mergeCell ref="C3:C4"/>
    <mergeCell ref="D3:D4"/>
    <mergeCell ref="E3:E4"/>
    <mergeCell ref="F3:F4"/>
    <mergeCell ref="G3:J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zoomScalePageLayoutView="0" workbookViewId="0" topLeftCell="A1">
      <selection activeCell="E21" sqref="E21"/>
    </sheetView>
  </sheetViews>
  <sheetFormatPr defaultColWidth="9.00390625" defaultRowHeight="12.75"/>
  <cols>
    <col min="1" max="1" width="26.00390625" style="4" bestFit="1" customWidth="1"/>
    <col min="2" max="2" width="26.25390625" style="4" bestFit="1" customWidth="1"/>
    <col min="3" max="4" width="10.625" style="4" bestFit="1" customWidth="1"/>
    <col min="5" max="5" width="22.75390625" style="4" bestFit="1" customWidth="1"/>
    <col min="6" max="6" width="29.00390625" style="4" bestFit="1" customWidth="1"/>
    <col min="7" max="7" width="5.625" style="3" bestFit="1" customWidth="1"/>
    <col min="8" max="8" width="5.625" style="30" bestFit="1" customWidth="1"/>
    <col min="9" max="9" width="7.875" style="4" bestFit="1" customWidth="1"/>
    <col min="10" max="10" width="7.625" style="3" bestFit="1" customWidth="1"/>
    <col min="11" max="11" width="14.125" style="4" bestFit="1" customWidth="1"/>
    <col min="12" max="16384" width="9.125" style="3" customWidth="1"/>
  </cols>
  <sheetData>
    <row r="1" spans="1:11" s="2" customFormat="1" ht="28.5" customHeight="1">
      <c r="A1" s="54" t="s">
        <v>503</v>
      </c>
      <c r="B1" s="43"/>
      <c r="C1" s="43"/>
      <c r="D1" s="43"/>
      <c r="E1" s="43"/>
      <c r="F1" s="43"/>
      <c r="G1" s="43"/>
      <c r="H1" s="43"/>
      <c r="I1" s="43"/>
      <c r="J1" s="43"/>
      <c r="K1" s="44"/>
    </row>
    <row r="2" spans="1:11" s="2" customFormat="1" ht="61.5" customHeight="1" thickBot="1">
      <c r="A2" s="45"/>
      <c r="B2" s="46"/>
      <c r="C2" s="46"/>
      <c r="D2" s="46"/>
      <c r="E2" s="46"/>
      <c r="F2" s="46"/>
      <c r="G2" s="46"/>
      <c r="H2" s="46"/>
      <c r="I2" s="46"/>
      <c r="J2" s="46"/>
      <c r="K2" s="47"/>
    </row>
    <row r="3" spans="1:11" s="1" customFormat="1" ht="12.75" customHeight="1">
      <c r="A3" s="48" t="s">
        <v>0</v>
      </c>
      <c r="B3" s="50" t="s">
        <v>10</v>
      </c>
      <c r="C3" s="50" t="s">
        <v>11</v>
      </c>
      <c r="D3" s="52" t="s">
        <v>461</v>
      </c>
      <c r="E3" s="52" t="s">
        <v>7</v>
      </c>
      <c r="F3" s="52" t="s">
        <v>12</v>
      </c>
      <c r="G3" s="52" t="s">
        <v>438</v>
      </c>
      <c r="H3" s="52"/>
      <c r="I3" s="52" t="s">
        <v>441</v>
      </c>
      <c r="J3" s="52" t="s">
        <v>6</v>
      </c>
      <c r="K3" s="40" t="s">
        <v>5</v>
      </c>
    </row>
    <row r="4" spans="1:11" s="1" customFormat="1" ht="21" customHeight="1" thickBot="1">
      <c r="A4" s="49"/>
      <c r="B4" s="51"/>
      <c r="C4" s="51"/>
      <c r="D4" s="51"/>
      <c r="E4" s="51"/>
      <c r="F4" s="51"/>
      <c r="G4" s="7" t="s">
        <v>439</v>
      </c>
      <c r="H4" s="28" t="s">
        <v>440</v>
      </c>
      <c r="I4" s="51"/>
      <c r="J4" s="51"/>
      <c r="K4" s="41"/>
    </row>
    <row r="5" spans="1:10" ht="15">
      <c r="A5" s="53" t="s">
        <v>462</v>
      </c>
      <c r="B5" s="53"/>
      <c r="C5" s="53"/>
      <c r="D5" s="53"/>
      <c r="E5" s="53"/>
      <c r="F5" s="53"/>
      <c r="G5" s="53"/>
      <c r="H5" s="53"/>
      <c r="I5" s="53"/>
      <c r="J5" s="53"/>
    </row>
    <row r="6" spans="1:11" ht="12.75">
      <c r="A6" s="8" t="s">
        <v>97</v>
      </c>
      <c r="B6" s="8" t="s">
        <v>98</v>
      </c>
      <c r="C6" s="8" t="s">
        <v>99</v>
      </c>
      <c r="D6" s="8" t="str">
        <f>"1,0000"</f>
        <v>1,0000</v>
      </c>
      <c r="E6" s="8" t="s">
        <v>23</v>
      </c>
      <c r="F6" s="8" t="s">
        <v>74</v>
      </c>
      <c r="G6" s="9" t="s">
        <v>504</v>
      </c>
      <c r="H6" s="29" t="s">
        <v>505</v>
      </c>
      <c r="I6" s="8" t="str">
        <f>"2600,0"</f>
        <v>2600,0</v>
      </c>
      <c r="J6" s="9" t="str">
        <f>"23,9852"</f>
        <v>23,9852</v>
      </c>
      <c r="K6" s="8" t="s">
        <v>102</v>
      </c>
    </row>
    <row r="8" ht="15">
      <c r="E8" s="11"/>
    </row>
    <row r="9" ht="15">
      <c r="E9" s="11" t="s">
        <v>507</v>
      </c>
    </row>
    <row r="10" spans="5:6" ht="15">
      <c r="E10" s="11" t="s">
        <v>49</v>
      </c>
      <c r="F10" s="35" t="s">
        <v>508</v>
      </c>
    </row>
    <row r="11" spans="5:6" ht="15">
      <c r="E11" s="11" t="s">
        <v>50</v>
      </c>
      <c r="F11" s="35" t="s">
        <v>509</v>
      </c>
    </row>
    <row r="12" spans="5:6" ht="15">
      <c r="E12" s="11" t="s">
        <v>51</v>
      </c>
      <c r="F12" s="35" t="s">
        <v>510</v>
      </c>
    </row>
    <row r="13" spans="5:6" ht="15">
      <c r="E13" s="11"/>
      <c r="F13" s="35"/>
    </row>
    <row r="14" spans="5:6" ht="12.75">
      <c r="E14" s="3"/>
      <c r="F14" s="30"/>
    </row>
    <row r="16" spans="2:11" ht="12.75">
      <c r="B16" s="3"/>
      <c r="C16" s="30"/>
      <c r="E16" s="3"/>
      <c r="H16" s="3"/>
      <c r="I16" s="3"/>
      <c r="K16" s="3"/>
    </row>
    <row r="17" spans="2:11" ht="12.75">
      <c r="B17" s="3"/>
      <c r="C17" s="30"/>
      <c r="E17" s="3"/>
      <c r="H17" s="3"/>
      <c r="I17" s="3"/>
      <c r="K17" s="3"/>
    </row>
    <row r="18" spans="2:11" ht="12.75">
      <c r="B18" s="3"/>
      <c r="C18" s="30"/>
      <c r="E18" s="3"/>
      <c r="H18" s="3"/>
      <c r="I18" s="3"/>
      <c r="K18" s="3"/>
    </row>
    <row r="19" spans="2:11" ht="12.75">
      <c r="B19" s="3"/>
      <c r="C19" s="30"/>
      <c r="E19" s="3"/>
      <c r="H19" s="3"/>
      <c r="I19" s="3"/>
      <c r="K19" s="3"/>
    </row>
    <row r="20" spans="2:11" ht="12.75">
      <c r="B20" s="3"/>
      <c r="C20" s="30"/>
      <c r="E20" s="3"/>
      <c r="H20" s="3"/>
      <c r="I20" s="3"/>
      <c r="K20" s="3"/>
    </row>
  </sheetData>
  <sheetProtection/>
  <mergeCells count="12">
    <mergeCell ref="I3:I4"/>
    <mergeCell ref="J3:J4"/>
    <mergeCell ref="K3:K4"/>
    <mergeCell ref="A5:J5"/>
    <mergeCell ref="A1:K2"/>
    <mergeCell ref="A3:A4"/>
    <mergeCell ref="B3:B4"/>
    <mergeCell ref="C3:C4"/>
    <mergeCell ref="D3:D4"/>
    <mergeCell ref="E3:E4"/>
    <mergeCell ref="F3:F4"/>
    <mergeCell ref="G3:H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zoomScalePageLayoutView="0" workbookViewId="0" topLeftCell="A1">
      <selection activeCell="E16" sqref="E16"/>
    </sheetView>
  </sheetViews>
  <sheetFormatPr defaultColWidth="9.00390625" defaultRowHeight="12.75"/>
  <cols>
    <col min="1" max="1" width="26.00390625" style="4" bestFit="1" customWidth="1"/>
    <col min="2" max="2" width="26.25390625" style="4" bestFit="1" customWidth="1"/>
    <col min="3" max="3" width="10.625" style="4" bestFit="1" customWidth="1"/>
    <col min="4" max="4" width="9.25390625" style="4" bestFit="1" customWidth="1"/>
    <col min="5" max="5" width="22.75390625" style="4" bestFit="1" customWidth="1"/>
    <col min="6" max="6" width="32.125" style="4" bestFit="1" customWidth="1"/>
    <col min="7" max="7" width="5.625" style="3" bestFit="1" customWidth="1"/>
    <col min="8" max="9" width="6.625" style="3" bestFit="1" customWidth="1"/>
    <col min="10" max="10" width="4.875" style="3" bestFit="1" customWidth="1"/>
    <col min="11" max="11" width="7.875" style="4" bestFit="1" customWidth="1"/>
    <col min="12" max="12" width="8.625" style="3" bestFit="1" customWidth="1"/>
    <col min="13" max="13" width="15.75390625" style="4" bestFit="1" customWidth="1"/>
    <col min="14" max="16384" width="9.125" style="3" customWidth="1"/>
  </cols>
  <sheetData>
    <row r="1" spans="1:13" s="2" customFormat="1" ht="28.5" customHeight="1">
      <c r="A1" s="54" t="s">
        <v>302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4"/>
    </row>
    <row r="2" spans="1:13" s="2" customFormat="1" ht="61.5" customHeight="1" thickBot="1">
      <c r="A2" s="45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s="1" customFormat="1" ht="12.75" customHeight="1">
      <c r="A3" s="48" t="s">
        <v>0</v>
      </c>
      <c r="B3" s="50" t="s">
        <v>10</v>
      </c>
      <c r="C3" s="50" t="s">
        <v>11</v>
      </c>
      <c r="D3" s="52" t="s">
        <v>14</v>
      </c>
      <c r="E3" s="52" t="s">
        <v>7</v>
      </c>
      <c r="F3" s="52" t="s">
        <v>12</v>
      </c>
      <c r="G3" s="52" t="s">
        <v>17</v>
      </c>
      <c r="H3" s="52"/>
      <c r="I3" s="52"/>
      <c r="J3" s="52"/>
      <c r="K3" s="52" t="s">
        <v>118</v>
      </c>
      <c r="L3" s="52" t="s">
        <v>6</v>
      </c>
      <c r="M3" s="40" t="s">
        <v>5</v>
      </c>
    </row>
    <row r="4" spans="1:13" s="1" customFormat="1" ht="21" customHeight="1" thickBot="1">
      <c r="A4" s="49"/>
      <c r="B4" s="51"/>
      <c r="C4" s="51"/>
      <c r="D4" s="51"/>
      <c r="E4" s="51"/>
      <c r="F4" s="51"/>
      <c r="G4" s="7">
        <v>1</v>
      </c>
      <c r="H4" s="7">
        <v>2</v>
      </c>
      <c r="I4" s="7">
        <v>3</v>
      </c>
      <c r="J4" s="7" t="s">
        <v>8</v>
      </c>
      <c r="K4" s="51"/>
      <c r="L4" s="51"/>
      <c r="M4" s="41"/>
    </row>
    <row r="5" spans="1:12" ht="15">
      <c r="A5" s="53" t="s">
        <v>123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</row>
    <row r="6" spans="1:13" ht="12.75">
      <c r="A6" s="8" t="s">
        <v>304</v>
      </c>
      <c r="B6" s="8" t="s">
        <v>305</v>
      </c>
      <c r="C6" s="8" t="s">
        <v>306</v>
      </c>
      <c r="D6" s="8" t="str">
        <f>"0,7842"</f>
        <v>0,7842</v>
      </c>
      <c r="E6" s="8" t="s">
        <v>23</v>
      </c>
      <c r="F6" s="8" t="s">
        <v>74</v>
      </c>
      <c r="G6" s="9" t="s">
        <v>27</v>
      </c>
      <c r="H6" s="9" t="s">
        <v>137</v>
      </c>
      <c r="I6" s="9" t="s">
        <v>307</v>
      </c>
      <c r="J6" s="10"/>
      <c r="K6" s="8" t="str">
        <f>"105,0"</f>
        <v>105,0</v>
      </c>
      <c r="L6" s="9" t="str">
        <f>"82,3410"</f>
        <v>82,3410</v>
      </c>
      <c r="M6" s="8" t="s">
        <v>308</v>
      </c>
    </row>
    <row r="8" spans="1:12" ht="15">
      <c r="A8" s="55" t="s">
        <v>162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</row>
    <row r="9" spans="1:13" ht="12.75">
      <c r="A9" s="8" t="s">
        <v>310</v>
      </c>
      <c r="B9" s="8" t="s">
        <v>311</v>
      </c>
      <c r="C9" s="8" t="s">
        <v>170</v>
      </c>
      <c r="D9" s="8" t="str">
        <f>"0,5956"</f>
        <v>0,5956</v>
      </c>
      <c r="E9" s="8" t="s">
        <v>128</v>
      </c>
      <c r="F9" s="8" t="s">
        <v>312</v>
      </c>
      <c r="G9" s="9" t="s">
        <v>265</v>
      </c>
      <c r="H9" s="9" t="s">
        <v>313</v>
      </c>
      <c r="I9" s="9" t="s">
        <v>314</v>
      </c>
      <c r="J9" s="10"/>
      <c r="K9" s="8" t="str">
        <f>"235,0"</f>
        <v>235,0</v>
      </c>
      <c r="L9" s="9" t="str">
        <f>"139,9660"</f>
        <v>139,9660</v>
      </c>
      <c r="M9" s="8" t="s">
        <v>83</v>
      </c>
    </row>
    <row r="11" ht="15">
      <c r="E11" s="11" t="s">
        <v>511</v>
      </c>
    </row>
    <row r="12" spans="5:6" ht="15">
      <c r="E12" s="11" t="s">
        <v>49</v>
      </c>
      <c r="F12" s="35" t="s">
        <v>508</v>
      </c>
    </row>
    <row r="13" spans="5:6" ht="15">
      <c r="E13" s="11" t="s">
        <v>50</v>
      </c>
      <c r="F13" s="35" t="s">
        <v>523</v>
      </c>
    </row>
    <row r="14" spans="5:6" ht="15">
      <c r="E14" s="11" t="s">
        <v>51</v>
      </c>
      <c r="F14" s="35" t="s">
        <v>524</v>
      </c>
    </row>
    <row r="15" spans="5:6" ht="15">
      <c r="E15" s="11" t="s">
        <v>51</v>
      </c>
      <c r="F15" s="35" t="s">
        <v>525</v>
      </c>
    </row>
    <row r="16" ht="15">
      <c r="E16" s="11"/>
    </row>
    <row r="18" spans="1:2" ht="18">
      <c r="A18" s="12" t="s">
        <v>52</v>
      </c>
      <c r="B18" s="12"/>
    </row>
    <row r="19" spans="1:2" ht="15">
      <c r="A19" s="13" t="s">
        <v>53</v>
      </c>
      <c r="B19" s="13"/>
    </row>
    <row r="20" spans="1:2" ht="14.25">
      <c r="A20" s="15"/>
      <c r="B20" s="16" t="s">
        <v>54</v>
      </c>
    </row>
    <row r="21" spans="1:5" ht="15">
      <c r="A21" s="17" t="s">
        <v>55</v>
      </c>
      <c r="B21" s="17" t="s">
        <v>56</v>
      </c>
      <c r="C21" s="17" t="s">
        <v>57</v>
      </c>
      <c r="D21" s="17" t="s">
        <v>58</v>
      </c>
      <c r="E21" s="17" t="s">
        <v>59</v>
      </c>
    </row>
    <row r="22" spans="1:5" ht="12.75">
      <c r="A22" s="14" t="s">
        <v>303</v>
      </c>
      <c r="B22" s="4" t="s">
        <v>54</v>
      </c>
      <c r="C22" s="4" t="s">
        <v>207</v>
      </c>
      <c r="D22" s="4" t="s">
        <v>44</v>
      </c>
      <c r="E22" s="18" t="s">
        <v>315</v>
      </c>
    </row>
    <row r="25" spans="1:2" ht="15">
      <c r="A25" s="13" t="s">
        <v>63</v>
      </c>
      <c r="B25" s="13"/>
    </row>
    <row r="26" spans="1:2" ht="14.25">
      <c r="A26" s="15"/>
      <c r="B26" s="16" t="s">
        <v>54</v>
      </c>
    </row>
    <row r="27" spans="1:5" ht="15">
      <c r="A27" s="17" t="s">
        <v>55</v>
      </c>
      <c r="B27" s="17" t="s">
        <v>56</v>
      </c>
      <c r="C27" s="17" t="s">
        <v>57</v>
      </c>
      <c r="D27" s="17" t="s">
        <v>58</v>
      </c>
      <c r="E27" s="17" t="s">
        <v>59</v>
      </c>
    </row>
    <row r="28" spans="1:5" ht="12.75">
      <c r="A28" s="14" t="s">
        <v>309</v>
      </c>
      <c r="B28" s="4" t="s">
        <v>54</v>
      </c>
      <c r="C28" s="4" t="s">
        <v>224</v>
      </c>
      <c r="D28" s="4" t="s">
        <v>314</v>
      </c>
      <c r="E28" s="18" t="s">
        <v>316</v>
      </c>
    </row>
  </sheetData>
  <sheetProtection/>
  <mergeCells count="13">
    <mergeCell ref="A5:L5"/>
    <mergeCell ref="A8:L8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3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5"/>
  <sheetViews>
    <sheetView zoomScalePageLayoutView="0" workbookViewId="0" topLeftCell="A1">
      <selection activeCell="F24" sqref="D18:F24"/>
    </sheetView>
  </sheetViews>
  <sheetFormatPr defaultColWidth="9.00390625" defaultRowHeight="12.75"/>
  <cols>
    <col min="1" max="1" width="26.00390625" style="4" bestFit="1" customWidth="1"/>
    <col min="2" max="2" width="28.625" style="4" bestFit="1" customWidth="1"/>
    <col min="3" max="3" width="10.625" style="4" bestFit="1" customWidth="1"/>
    <col min="4" max="4" width="9.25390625" style="4" bestFit="1" customWidth="1"/>
    <col min="5" max="5" width="22.75390625" style="4" bestFit="1" customWidth="1"/>
    <col min="6" max="6" width="31.625" style="4" bestFit="1" customWidth="1"/>
    <col min="7" max="9" width="6.625" style="3" bestFit="1" customWidth="1"/>
    <col min="10" max="10" width="4.875" style="3" bestFit="1" customWidth="1"/>
    <col min="11" max="11" width="7.875" style="4" bestFit="1" customWidth="1"/>
    <col min="12" max="12" width="8.625" style="3" bestFit="1" customWidth="1"/>
    <col min="13" max="13" width="28.75390625" style="4" bestFit="1" customWidth="1"/>
    <col min="14" max="16384" width="9.125" style="3" customWidth="1"/>
  </cols>
  <sheetData>
    <row r="1" spans="1:13" s="2" customFormat="1" ht="28.5" customHeight="1">
      <c r="A1" s="54" t="s">
        <v>275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4"/>
    </row>
    <row r="2" spans="1:13" s="2" customFormat="1" ht="61.5" customHeight="1" thickBot="1">
      <c r="A2" s="45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s="1" customFormat="1" ht="12.75" customHeight="1">
      <c r="A3" s="48" t="s">
        <v>0</v>
      </c>
      <c r="B3" s="50" t="s">
        <v>10</v>
      </c>
      <c r="C3" s="50" t="s">
        <v>11</v>
      </c>
      <c r="D3" s="52" t="s">
        <v>14</v>
      </c>
      <c r="E3" s="52" t="s">
        <v>7</v>
      </c>
      <c r="F3" s="52" t="s">
        <v>12</v>
      </c>
      <c r="G3" s="52" t="s">
        <v>17</v>
      </c>
      <c r="H3" s="52"/>
      <c r="I3" s="52"/>
      <c r="J3" s="52"/>
      <c r="K3" s="52" t="s">
        <v>118</v>
      </c>
      <c r="L3" s="52" t="s">
        <v>6</v>
      </c>
      <c r="M3" s="40" t="s">
        <v>5</v>
      </c>
    </row>
    <row r="4" spans="1:13" s="1" customFormat="1" ht="21" customHeight="1" thickBot="1">
      <c r="A4" s="49"/>
      <c r="B4" s="51"/>
      <c r="C4" s="51"/>
      <c r="D4" s="51"/>
      <c r="E4" s="51"/>
      <c r="F4" s="51"/>
      <c r="G4" s="7">
        <v>1</v>
      </c>
      <c r="H4" s="7">
        <v>2</v>
      </c>
      <c r="I4" s="7">
        <v>3</v>
      </c>
      <c r="J4" s="7" t="s">
        <v>8</v>
      </c>
      <c r="K4" s="51"/>
      <c r="L4" s="51"/>
      <c r="M4" s="41"/>
    </row>
    <row r="5" spans="1:12" ht="15">
      <c r="A5" s="53" t="s">
        <v>18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</row>
    <row r="6" spans="1:13" ht="12.75">
      <c r="A6" s="8" t="s">
        <v>20</v>
      </c>
      <c r="B6" s="8" t="s">
        <v>21</v>
      </c>
      <c r="C6" s="8" t="s">
        <v>22</v>
      </c>
      <c r="D6" s="8" t="str">
        <f>"0,9147"</f>
        <v>0,9147</v>
      </c>
      <c r="E6" s="8" t="s">
        <v>23</v>
      </c>
      <c r="F6" s="8" t="s">
        <v>24</v>
      </c>
      <c r="G6" s="9" t="s">
        <v>30</v>
      </c>
      <c r="H6" s="9" t="s">
        <v>172</v>
      </c>
      <c r="I6" s="10" t="s">
        <v>32</v>
      </c>
      <c r="J6" s="10"/>
      <c r="K6" s="8" t="str">
        <f>"125,0"</f>
        <v>125,0</v>
      </c>
      <c r="L6" s="9" t="str">
        <f>"114,3313"</f>
        <v>114,3313</v>
      </c>
      <c r="M6" s="8" t="s">
        <v>33</v>
      </c>
    </row>
    <row r="8" spans="1:12" ht="15">
      <c r="A8" s="55" t="s">
        <v>133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</row>
    <row r="9" spans="1:13" ht="12.75">
      <c r="A9" s="8" t="s">
        <v>277</v>
      </c>
      <c r="B9" s="8" t="s">
        <v>278</v>
      </c>
      <c r="C9" s="8" t="s">
        <v>279</v>
      </c>
      <c r="D9" s="8" t="str">
        <f>"0,8647"</f>
        <v>0,8647</v>
      </c>
      <c r="E9" s="8" t="s">
        <v>280</v>
      </c>
      <c r="F9" s="8" t="s">
        <v>74</v>
      </c>
      <c r="G9" s="9" t="s">
        <v>42</v>
      </c>
      <c r="H9" s="10" t="s">
        <v>46</v>
      </c>
      <c r="I9" s="10" t="s">
        <v>46</v>
      </c>
      <c r="J9" s="10"/>
      <c r="K9" s="8" t="str">
        <f>"140,0"</f>
        <v>140,0</v>
      </c>
      <c r="L9" s="9" t="str">
        <f>"126,8614"</f>
        <v>126,8614</v>
      </c>
      <c r="M9" s="8" t="s">
        <v>281</v>
      </c>
    </row>
    <row r="13" spans="1:12" ht="15">
      <c r="A13" s="55" t="s">
        <v>69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</row>
    <row r="14" spans="1:13" ht="12.75">
      <c r="A14" s="19" t="s">
        <v>283</v>
      </c>
      <c r="B14" s="19" t="s">
        <v>284</v>
      </c>
      <c r="C14" s="19" t="s">
        <v>285</v>
      </c>
      <c r="D14" s="19" t="str">
        <f>"0,6214"</f>
        <v>0,6214</v>
      </c>
      <c r="E14" s="19" t="s">
        <v>128</v>
      </c>
      <c r="F14" s="19" t="s">
        <v>286</v>
      </c>
      <c r="G14" s="21" t="s">
        <v>287</v>
      </c>
      <c r="H14" s="21" t="s">
        <v>266</v>
      </c>
      <c r="I14" s="21" t="s">
        <v>288</v>
      </c>
      <c r="J14" s="20"/>
      <c r="K14" s="19" t="str">
        <f>"222,5"</f>
        <v>222,5</v>
      </c>
      <c r="L14" s="21" t="str">
        <f>"143,7920"</f>
        <v>143,7920</v>
      </c>
      <c r="M14" s="19" t="s">
        <v>289</v>
      </c>
    </row>
    <row r="15" spans="1:13" ht="12.75">
      <c r="A15" s="25" t="s">
        <v>283</v>
      </c>
      <c r="B15" s="25" t="s">
        <v>290</v>
      </c>
      <c r="C15" s="25" t="s">
        <v>285</v>
      </c>
      <c r="D15" s="25" t="str">
        <f>"0,6214"</f>
        <v>0,6214</v>
      </c>
      <c r="E15" s="25" t="s">
        <v>128</v>
      </c>
      <c r="F15" s="25" t="s">
        <v>286</v>
      </c>
      <c r="G15" s="27" t="s">
        <v>287</v>
      </c>
      <c r="H15" s="27" t="s">
        <v>266</v>
      </c>
      <c r="I15" s="27" t="s">
        <v>288</v>
      </c>
      <c r="J15" s="26"/>
      <c r="K15" s="25" t="str">
        <f>"222,5"</f>
        <v>222,5</v>
      </c>
      <c r="L15" s="27" t="str">
        <f>"138,2615"</f>
        <v>138,2615</v>
      </c>
      <c r="M15" s="25" t="s">
        <v>289</v>
      </c>
    </row>
    <row r="16" spans="1:13" ht="12.75">
      <c r="A16" s="22" t="s">
        <v>292</v>
      </c>
      <c r="B16" s="22" t="s">
        <v>293</v>
      </c>
      <c r="C16" s="22" t="s">
        <v>294</v>
      </c>
      <c r="D16" s="22" t="str">
        <f>"0,6412"</f>
        <v>0,6412</v>
      </c>
      <c r="E16" s="22" t="s">
        <v>120</v>
      </c>
      <c r="F16" s="22" t="s">
        <v>74</v>
      </c>
      <c r="G16" s="23" t="s">
        <v>295</v>
      </c>
      <c r="H16" s="24" t="s">
        <v>77</v>
      </c>
      <c r="I16" s="24" t="s">
        <v>296</v>
      </c>
      <c r="J16" s="23"/>
      <c r="K16" s="22" t="str">
        <f>"200,0"</f>
        <v>200,0</v>
      </c>
      <c r="L16" s="24" t="str">
        <f>"128,2400"</f>
        <v>128,2400</v>
      </c>
      <c r="M16" s="22" t="s">
        <v>83</v>
      </c>
    </row>
    <row r="18" ht="15">
      <c r="E18" s="11" t="s">
        <v>515</v>
      </c>
    </row>
    <row r="19" spans="5:6" ht="15">
      <c r="E19" s="11" t="s">
        <v>49</v>
      </c>
      <c r="F19" s="35" t="s">
        <v>508</v>
      </c>
    </row>
    <row r="20" spans="5:6" ht="15">
      <c r="E20" s="11" t="s">
        <v>520</v>
      </c>
      <c r="F20" s="35" t="s">
        <v>521</v>
      </c>
    </row>
    <row r="21" spans="5:6" ht="15">
      <c r="E21" s="11" t="s">
        <v>516</v>
      </c>
      <c r="F21" s="35"/>
    </row>
    <row r="22" ht="15">
      <c r="E22" s="11" t="s">
        <v>522</v>
      </c>
    </row>
    <row r="23" ht="15">
      <c r="E23" s="11"/>
    </row>
    <row r="24" ht="15">
      <c r="E24" s="11"/>
    </row>
    <row r="26" spans="1:2" ht="18">
      <c r="A26" s="12" t="s">
        <v>52</v>
      </c>
      <c r="B26" s="12"/>
    </row>
    <row r="27" spans="1:2" ht="15">
      <c r="A27" s="13" t="s">
        <v>53</v>
      </c>
      <c r="B27" s="13"/>
    </row>
    <row r="28" spans="1:2" ht="14.25">
      <c r="A28" s="15"/>
      <c r="B28" s="16" t="s">
        <v>54</v>
      </c>
    </row>
    <row r="29" spans="1:5" ht="15">
      <c r="A29" s="17" t="s">
        <v>55</v>
      </c>
      <c r="B29" s="17" t="s">
        <v>56</v>
      </c>
      <c r="C29" s="17" t="s">
        <v>57</v>
      </c>
      <c r="D29" s="17" t="s">
        <v>58</v>
      </c>
      <c r="E29" s="17" t="s">
        <v>59</v>
      </c>
    </row>
    <row r="30" spans="1:5" ht="12.75">
      <c r="A30" s="14" t="s">
        <v>19</v>
      </c>
      <c r="B30" s="4" t="s">
        <v>54</v>
      </c>
      <c r="C30" s="4" t="s">
        <v>60</v>
      </c>
      <c r="D30" s="4" t="s">
        <v>172</v>
      </c>
      <c r="E30" s="18" t="s">
        <v>297</v>
      </c>
    </row>
    <row r="32" spans="1:2" ht="14.25">
      <c r="A32" s="15"/>
      <c r="B32" s="16" t="s">
        <v>115</v>
      </c>
    </row>
    <row r="33" spans="1:5" ht="15">
      <c r="A33" s="17" t="s">
        <v>55</v>
      </c>
      <c r="B33" s="17" t="s">
        <v>56</v>
      </c>
      <c r="C33" s="17" t="s">
        <v>57</v>
      </c>
      <c r="D33" s="17" t="s">
        <v>58</v>
      </c>
      <c r="E33" s="17" t="s">
        <v>59</v>
      </c>
    </row>
    <row r="34" spans="1:5" ht="12.75">
      <c r="A34" s="14" t="s">
        <v>276</v>
      </c>
      <c r="B34" s="4" t="s">
        <v>115</v>
      </c>
      <c r="C34" s="4" t="s">
        <v>214</v>
      </c>
      <c r="D34" s="4" t="s">
        <v>42</v>
      </c>
      <c r="E34" s="18" t="s">
        <v>298</v>
      </c>
    </row>
    <row r="37" spans="1:2" ht="15">
      <c r="A37" s="13" t="s">
        <v>63</v>
      </c>
      <c r="B37" s="13"/>
    </row>
    <row r="38" spans="1:2" ht="14.25">
      <c r="A38" s="15"/>
      <c r="B38" s="16" t="s">
        <v>64</v>
      </c>
    </row>
    <row r="39" spans="1:5" ht="15">
      <c r="A39" s="17" t="s">
        <v>55</v>
      </c>
      <c r="B39" s="17" t="s">
        <v>56</v>
      </c>
      <c r="C39" s="17" t="s">
        <v>57</v>
      </c>
      <c r="D39" s="17" t="s">
        <v>58</v>
      </c>
      <c r="E39" s="17" t="s">
        <v>59</v>
      </c>
    </row>
    <row r="40" spans="1:5" ht="12.75">
      <c r="A40" s="14" t="s">
        <v>282</v>
      </c>
      <c r="B40" s="4" t="s">
        <v>64</v>
      </c>
      <c r="C40" s="4" t="s">
        <v>85</v>
      </c>
      <c r="D40" s="4" t="s">
        <v>288</v>
      </c>
      <c r="E40" s="18" t="s">
        <v>299</v>
      </c>
    </row>
    <row r="42" spans="1:2" ht="14.25">
      <c r="A42" s="15"/>
      <c r="B42" s="16" t="s">
        <v>54</v>
      </c>
    </row>
    <row r="43" spans="1:5" ht="15">
      <c r="A43" s="17" t="s">
        <v>55</v>
      </c>
      <c r="B43" s="17" t="s">
        <v>56</v>
      </c>
      <c r="C43" s="17" t="s">
        <v>57</v>
      </c>
      <c r="D43" s="17" t="s">
        <v>58</v>
      </c>
      <c r="E43" s="17" t="s">
        <v>59</v>
      </c>
    </row>
    <row r="44" spans="1:5" ht="12.75">
      <c r="A44" s="14" t="s">
        <v>282</v>
      </c>
      <c r="B44" s="4" t="s">
        <v>54</v>
      </c>
      <c r="C44" s="4" t="s">
        <v>85</v>
      </c>
      <c r="D44" s="4" t="s">
        <v>288</v>
      </c>
      <c r="E44" s="18" t="s">
        <v>300</v>
      </c>
    </row>
    <row r="45" spans="1:5" ht="12.75">
      <c r="A45" s="14" t="s">
        <v>291</v>
      </c>
      <c r="B45" s="4" t="s">
        <v>54</v>
      </c>
      <c r="C45" s="4" t="s">
        <v>85</v>
      </c>
      <c r="D45" s="4" t="s">
        <v>265</v>
      </c>
      <c r="E45" s="18" t="s">
        <v>301</v>
      </c>
    </row>
  </sheetData>
  <sheetProtection/>
  <mergeCells count="14">
    <mergeCell ref="A13:L13"/>
    <mergeCell ref="K3:K4"/>
    <mergeCell ref="L3:L4"/>
    <mergeCell ref="M3:M4"/>
    <mergeCell ref="A5:L5"/>
    <mergeCell ref="A8:L8"/>
    <mergeCell ref="A1:M2"/>
    <mergeCell ref="A3:A4"/>
    <mergeCell ref="B3:B4"/>
    <mergeCell ref="C3:C4"/>
    <mergeCell ref="D3:D4"/>
    <mergeCell ref="E3:E4"/>
    <mergeCell ref="F3:F4"/>
    <mergeCell ref="G3:J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7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5:M17"/>
  <sheetViews>
    <sheetView zoomScalePageLayoutView="0" workbookViewId="0" topLeftCell="A1">
      <selection activeCell="B17" sqref="A1:M17"/>
    </sheetView>
  </sheetViews>
  <sheetFormatPr defaultColWidth="9.00390625" defaultRowHeight="12.75"/>
  <cols>
    <col min="1" max="1" width="26.00390625" style="4" bestFit="1" customWidth="1"/>
    <col min="2" max="2" width="26.25390625" style="4" bestFit="1" customWidth="1"/>
    <col min="3" max="3" width="9.75390625" style="4" bestFit="1" customWidth="1"/>
    <col min="4" max="4" width="6.625" style="4" bestFit="1" customWidth="1"/>
    <col min="5" max="5" width="22.75390625" style="4" bestFit="1" customWidth="1"/>
    <col min="6" max="6" width="17.25390625" style="4" bestFit="1" customWidth="1"/>
    <col min="7" max="9" width="2.125" style="3" bestFit="1" customWidth="1"/>
    <col min="10" max="10" width="4.875" style="3" bestFit="1" customWidth="1"/>
    <col min="11" max="11" width="7.875" style="4" bestFit="1" customWidth="1"/>
    <col min="12" max="12" width="6.375" style="3" bestFit="1" customWidth="1"/>
    <col min="13" max="13" width="8.875" style="4" bestFit="1" customWidth="1"/>
    <col min="14" max="16384" width="9.125" style="3" customWidth="1"/>
  </cols>
  <sheetData>
    <row r="1" s="2" customFormat="1" ht="28.5" customHeight="1"/>
    <row r="2" s="2" customFormat="1" ht="61.5" customHeight="1"/>
    <row r="3" s="1" customFormat="1" ht="12.75" customHeight="1"/>
    <row r="4" s="1" customFormat="1" ht="21" customHeight="1"/>
    <row r="5" spans="1:13" ht="12.75">
      <c r="A5" s="3"/>
      <c r="B5" s="3"/>
      <c r="C5" s="3"/>
      <c r="D5" s="3"/>
      <c r="E5" s="3"/>
      <c r="F5" s="3"/>
      <c r="K5" s="3"/>
      <c r="M5" s="3"/>
    </row>
    <row r="6" spans="1:13" ht="12.75">
      <c r="A6" s="3"/>
      <c r="B6" s="3"/>
      <c r="C6" s="3"/>
      <c r="D6" s="3"/>
      <c r="E6" s="3"/>
      <c r="F6" s="3"/>
      <c r="K6" s="3"/>
      <c r="M6" s="3"/>
    </row>
    <row r="7" spans="1:13" ht="12.75">
      <c r="A7" s="3"/>
      <c r="B7" s="3"/>
      <c r="C7" s="3"/>
      <c r="D7" s="3"/>
      <c r="E7" s="3"/>
      <c r="F7" s="3"/>
      <c r="K7" s="3"/>
      <c r="M7" s="3"/>
    </row>
    <row r="8" spans="1:13" ht="12.75">
      <c r="A8" s="3"/>
      <c r="B8" s="3"/>
      <c r="C8" s="3"/>
      <c r="D8" s="3"/>
      <c r="E8" s="3"/>
      <c r="F8" s="3"/>
      <c r="K8" s="3"/>
      <c r="M8" s="3"/>
    </row>
    <row r="9" spans="1:13" ht="12.75">
      <c r="A9" s="3"/>
      <c r="B9" s="3"/>
      <c r="C9" s="3"/>
      <c r="D9" s="3"/>
      <c r="E9" s="3"/>
      <c r="F9" s="3"/>
      <c r="K9" s="3"/>
      <c r="M9" s="3"/>
    </row>
    <row r="10" spans="1:13" ht="12.75">
      <c r="A10" s="3"/>
      <c r="B10" s="3"/>
      <c r="C10" s="3"/>
      <c r="D10" s="3"/>
      <c r="E10" s="3"/>
      <c r="F10" s="3"/>
      <c r="K10" s="3"/>
      <c r="M10" s="3"/>
    </row>
    <row r="11" spans="1:13" ht="12.75">
      <c r="A11" s="3"/>
      <c r="B11" s="3"/>
      <c r="C11" s="3"/>
      <c r="D11" s="3"/>
      <c r="E11" s="3"/>
      <c r="F11" s="3"/>
      <c r="K11" s="3"/>
      <c r="M11" s="3"/>
    </row>
    <row r="12" spans="1:13" ht="12.75">
      <c r="A12" s="3"/>
      <c r="B12" s="3"/>
      <c r="C12" s="3"/>
      <c r="D12" s="3"/>
      <c r="E12" s="3"/>
      <c r="F12" s="3"/>
      <c r="K12" s="3"/>
      <c r="M12" s="3"/>
    </row>
    <row r="13" spans="1:13" ht="12.75">
      <c r="A13" s="3"/>
      <c r="B13" s="3"/>
      <c r="C13" s="3"/>
      <c r="D13" s="3"/>
      <c r="E13" s="3"/>
      <c r="F13" s="3"/>
      <c r="K13" s="3"/>
      <c r="M13" s="3"/>
    </row>
    <row r="14" spans="1:13" ht="12.75">
      <c r="A14" s="3"/>
      <c r="B14" s="3"/>
      <c r="C14" s="3"/>
      <c r="D14" s="3"/>
      <c r="E14" s="3"/>
      <c r="F14" s="3"/>
      <c r="K14" s="3"/>
      <c r="M14" s="3"/>
    </row>
    <row r="15" spans="1:13" ht="12.75">
      <c r="A15" s="3"/>
      <c r="B15" s="3"/>
      <c r="C15" s="3"/>
      <c r="D15" s="3"/>
      <c r="E15" s="3"/>
      <c r="F15" s="3"/>
      <c r="K15" s="3"/>
      <c r="M15" s="3"/>
    </row>
    <row r="16" spans="1:13" ht="12.75">
      <c r="A16" s="3"/>
      <c r="B16" s="3"/>
      <c r="C16" s="3"/>
      <c r="D16" s="3"/>
      <c r="E16" s="3"/>
      <c r="F16" s="3"/>
      <c r="K16" s="3"/>
      <c r="M16" s="3"/>
    </row>
    <row r="17" spans="1:13" ht="12.75">
      <c r="A17" s="3"/>
      <c r="B17" s="3"/>
      <c r="C17" s="3"/>
      <c r="D17" s="3"/>
      <c r="E17" s="3"/>
      <c r="F17" s="3"/>
      <c r="K17" s="3"/>
      <c r="M17" s="3"/>
    </row>
  </sheetData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1">
      <selection activeCell="C16" sqref="C16"/>
    </sheetView>
  </sheetViews>
  <sheetFormatPr defaultColWidth="9.00390625" defaultRowHeight="12.75"/>
  <cols>
    <col min="1" max="1" width="26.00390625" style="4" bestFit="1" customWidth="1"/>
    <col min="2" max="2" width="26.25390625" style="4" bestFit="1" customWidth="1"/>
    <col min="3" max="3" width="10.625" style="4" bestFit="1" customWidth="1"/>
    <col min="4" max="4" width="9.25390625" style="4" bestFit="1" customWidth="1"/>
    <col min="5" max="5" width="22.75390625" style="4" bestFit="1" customWidth="1"/>
    <col min="6" max="6" width="29.75390625" style="4" bestFit="1" customWidth="1"/>
    <col min="7" max="9" width="5.625" style="3" bestFit="1" customWidth="1"/>
    <col min="10" max="10" width="4.875" style="3" bestFit="1" customWidth="1"/>
    <col min="11" max="11" width="7.875" style="4" bestFit="1" customWidth="1"/>
    <col min="12" max="12" width="8.625" style="3" bestFit="1" customWidth="1"/>
    <col min="13" max="13" width="15.75390625" style="4" bestFit="1" customWidth="1"/>
    <col min="14" max="16384" width="9.125" style="3" customWidth="1"/>
  </cols>
  <sheetData>
    <row r="1" spans="1:13" s="2" customFormat="1" ht="28.5" customHeight="1">
      <c r="A1" s="54" t="s">
        <v>258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4"/>
    </row>
    <row r="2" spans="1:13" s="2" customFormat="1" ht="61.5" customHeight="1" thickBot="1">
      <c r="A2" s="45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s="1" customFormat="1" ht="12.75" customHeight="1">
      <c r="A3" s="48" t="s">
        <v>0</v>
      </c>
      <c r="B3" s="50" t="s">
        <v>10</v>
      </c>
      <c r="C3" s="50" t="s">
        <v>11</v>
      </c>
      <c r="D3" s="52" t="s">
        <v>14</v>
      </c>
      <c r="E3" s="52" t="s">
        <v>7</v>
      </c>
      <c r="F3" s="52" t="s">
        <v>12</v>
      </c>
      <c r="G3" s="52" t="s">
        <v>16</v>
      </c>
      <c r="H3" s="52"/>
      <c r="I3" s="52"/>
      <c r="J3" s="52"/>
      <c r="K3" s="52" t="s">
        <v>118</v>
      </c>
      <c r="L3" s="52" t="s">
        <v>6</v>
      </c>
      <c r="M3" s="40" t="s">
        <v>5</v>
      </c>
    </row>
    <row r="4" spans="1:13" s="1" customFormat="1" ht="21" customHeight="1" thickBot="1">
      <c r="A4" s="49"/>
      <c r="B4" s="51"/>
      <c r="C4" s="51"/>
      <c r="D4" s="51"/>
      <c r="E4" s="51"/>
      <c r="F4" s="51"/>
      <c r="G4" s="7">
        <v>1</v>
      </c>
      <c r="H4" s="7">
        <v>2</v>
      </c>
      <c r="I4" s="7">
        <v>3</v>
      </c>
      <c r="J4" s="7" t="s">
        <v>8</v>
      </c>
      <c r="K4" s="51"/>
      <c r="L4" s="51"/>
      <c r="M4" s="41"/>
    </row>
    <row r="5" spans="1:12" ht="15">
      <c r="A5" s="53" t="s">
        <v>69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</row>
    <row r="6" spans="1:12" ht="15">
      <c r="A6" s="55" t="s">
        <v>162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</row>
    <row r="7" spans="1:13" ht="12.75">
      <c r="A7" s="8" t="s">
        <v>261</v>
      </c>
      <c r="B7" s="8" t="s">
        <v>262</v>
      </c>
      <c r="C7" s="8" t="s">
        <v>177</v>
      </c>
      <c r="D7" s="8" t="str">
        <f>"0,5853"</f>
        <v>0,5853</v>
      </c>
      <c r="E7" s="8" t="s">
        <v>128</v>
      </c>
      <c r="F7" s="8" t="s">
        <v>263</v>
      </c>
      <c r="G7" s="9" t="s">
        <v>264</v>
      </c>
      <c r="H7" s="9" t="s">
        <v>265</v>
      </c>
      <c r="I7" s="10" t="s">
        <v>266</v>
      </c>
      <c r="J7" s="10"/>
      <c r="K7" s="8" t="str">
        <f>"200,0"</f>
        <v>200,0</v>
      </c>
      <c r="L7" s="9" t="str">
        <f>"117,0600"</f>
        <v>117,0600</v>
      </c>
      <c r="M7" s="8" t="s">
        <v>83</v>
      </c>
    </row>
    <row r="9" spans="1:12" ht="15">
      <c r="A9" s="55" t="s">
        <v>89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</row>
    <row r="10" spans="1:13" ht="12.75">
      <c r="A10" s="8" t="s">
        <v>268</v>
      </c>
      <c r="B10" s="8" t="s">
        <v>269</v>
      </c>
      <c r="C10" s="8" t="s">
        <v>270</v>
      </c>
      <c r="D10" s="8" t="str">
        <f>"0,5540"</f>
        <v>0,5540</v>
      </c>
      <c r="E10" s="8" t="s">
        <v>128</v>
      </c>
      <c r="F10" s="8" t="s">
        <v>74</v>
      </c>
      <c r="G10" s="10" t="s">
        <v>271</v>
      </c>
      <c r="H10" s="9" t="s">
        <v>271</v>
      </c>
      <c r="I10" s="10" t="s">
        <v>272</v>
      </c>
      <c r="J10" s="10"/>
      <c r="K10" s="8" t="str">
        <f>"190,0"</f>
        <v>190,0</v>
      </c>
      <c r="L10" s="9" t="str">
        <f>"105,2600"</f>
        <v>105,2600</v>
      </c>
      <c r="M10" s="8" t="s">
        <v>161</v>
      </c>
    </row>
    <row r="12" ht="15">
      <c r="E12" s="11" t="s">
        <v>511</v>
      </c>
    </row>
    <row r="13" spans="5:6" ht="15">
      <c r="E13" s="11" t="s">
        <v>49</v>
      </c>
      <c r="F13" s="35" t="s">
        <v>508</v>
      </c>
    </row>
    <row r="14" ht="15">
      <c r="E14" s="11" t="s">
        <v>512</v>
      </c>
    </row>
    <row r="15" ht="15">
      <c r="E15" s="11" t="s">
        <v>513</v>
      </c>
    </row>
    <row r="16" ht="15">
      <c r="E16" s="11" t="s">
        <v>514</v>
      </c>
    </row>
    <row r="17" ht="15">
      <c r="E17" s="11"/>
    </row>
    <row r="18" ht="15">
      <c r="E18" s="11"/>
    </row>
    <row r="20" spans="1:2" ht="18">
      <c r="A20" s="12" t="s">
        <v>52</v>
      </c>
      <c r="B20" s="12"/>
    </row>
    <row r="21" spans="1:2" ht="15">
      <c r="A21" s="13" t="s">
        <v>63</v>
      </c>
      <c r="B21" s="13"/>
    </row>
    <row r="22" spans="1:2" ht="14.25">
      <c r="A22" s="15"/>
      <c r="B22" s="16" t="s">
        <v>54</v>
      </c>
    </row>
    <row r="23" spans="1:5" ht="15">
      <c r="A23" s="17" t="s">
        <v>55</v>
      </c>
      <c r="B23" s="17" t="s">
        <v>56</v>
      </c>
      <c r="C23" s="17" t="s">
        <v>57</v>
      </c>
      <c r="D23" s="17" t="s">
        <v>58</v>
      </c>
      <c r="E23" s="17" t="s">
        <v>59</v>
      </c>
    </row>
    <row r="24" spans="1:5" ht="12.75">
      <c r="A24" s="14" t="s">
        <v>260</v>
      </c>
      <c r="B24" s="4" t="s">
        <v>54</v>
      </c>
      <c r="C24" s="4" t="s">
        <v>224</v>
      </c>
      <c r="D24" s="4" t="s">
        <v>265</v>
      </c>
      <c r="E24" s="18" t="s">
        <v>273</v>
      </c>
    </row>
    <row r="25" spans="1:5" ht="12.75">
      <c r="A25" s="14" t="s">
        <v>267</v>
      </c>
      <c r="B25" s="4" t="s">
        <v>54</v>
      </c>
      <c r="C25" s="4" t="s">
        <v>113</v>
      </c>
      <c r="D25" s="4" t="s">
        <v>271</v>
      </c>
      <c r="E25" s="18" t="s">
        <v>274</v>
      </c>
    </row>
  </sheetData>
  <sheetProtection/>
  <mergeCells count="14">
    <mergeCell ref="A9:L9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  <mergeCell ref="A5:L5"/>
    <mergeCell ref="A6:L6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M49"/>
  <sheetViews>
    <sheetView zoomScalePageLayoutView="0" workbookViewId="0" topLeftCell="A1">
      <selection activeCell="F25" sqref="E21:F25"/>
    </sheetView>
  </sheetViews>
  <sheetFormatPr defaultColWidth="9.00390625" defaultRowHeight="12.75"/>
  <cols>
    <col min="1" max="1" width="26.00390625" style="4" bestFit="1" customWidth="1"/>
    <col min="2" max="2" width="28.625" style="4" bestFit="1" customWidth="1"/>
    <col min="3" max="3" width="10.625" style="4" bestFit="1" customWidth="1"/>
    <col min="4" max="4" width="9.25390625" style="4" bestFit="1" customWidth="1"/>
    <col min="5" max="5" width="22.75390625" style="4" bestFit="1" customWidth="1"/>
    <col min="6" max="6" width="33.375" style="4" bestFit="1" customWidth="1"/>
    <col min="7" max="9" width="6.625" style="3" bestFit="1" customWidth="1"/>
    <col min="10" max="10" width="4.875" style="3" bestFit="1" customWidth="1"/>
    <col min="11" max="11" width="7.875" style="4" bestFit="1" customWidth="1"/>
    <col min="12" max="12" width="8.625" style="3" bestFit="1" customWidth="1"/>
    <col min="13" max="13" width="16.75390625" style="4" bestFit="1" customWidth="1"/>
    <col min="14" max="16384" width="9.125" style="3" customWidth="1"/>
  </cols>
  <sheetData>
    <row r="1" spans="1:13" s="2" customFormat="1" ht="28.5" customHeight="1">
      <c r="A1" s="54" t="s">
        <v>233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4"/>
    </row>
    <row r="2" spans="1:13" s="2" customFormat="1" ht="61.5" customHeight="1" thickBot="1">
      <c r="A2" s="45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s="1" customFormat="1" ht="12.75" customHeight="1">
      <c r="A3" s="48" t="s">
        <v>0</v>
      </c>
      <c r="B3" s="50" t="s">
        <v>10</v>
      </c>
      <c r="C3" s="50" t="s">
        <v>11</v>
      </c>
      <c r="D3" s="52" t="s">
        <v>14</v>
      </c>
      <c r="E3" s="52" t="s">
        <v>7</v>
      </c>
      <c r="F3" s="52" t="s">
        <v>12</v>
      </c>
      <c r="G3" s="52" t="s">
        <v>16</v>
      </c>
      <c r="H3" s="52"/>
      <c r="I3" s="52"/>
      <c r="J3" s="52"/>
      <c r="K3" s="52" t="s">
        <v>118</v>
      </c>
      <c r="L3" s="52" t="s">
        <v>6</v>
      </c>
      <c r="M3" s="40" t="s">
        <v>5</v>
      </c>
    </row>
    <row r="4" spans="1:13" s="1" customFormat="1" ht="21" customHeight="1" thickBot="1">
      <c r="A4" s="49"/>
      <c r="B4" s="51"/>
      <c r="C4" s="51"/>
      <c r="D4" s="51"/>
      <c r="E4" s="51"/>
      <c r="F4" s="51"/>
      <c r="G4" s="7">
        <v>1</v>
      </c>
      <c r="H4" s="7">
        <v>2</v>
      </c>
      <c r="I4" s="7">
        <v>3</v>
      </c>
      <c r="J4" s="7" t="s">
        <v>8</v>
      </c>
      <c r="K4" s="51"/>
      <c r="L4" s="51"/>
      <c r="M4" s="41"/>
    </row>
    <row r="5" spans="1:12" ht="15">
      <c r="A5" s="53" t="s">
        <v>123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</row>
    <row r="6" spans="1:13" ht="12.75">
      <c r="A6" s="8" t="s">
        <v>234</v>
      </c>
      <c r="B6" s="8" t="s">
        <v>235</v>
      </c>
      <c r="C6" s="8" t="s">
        <v>236</v>
      </c>
      <c r="D6" s="8" t="str">
        <f>"0,7954"</f>
        <v>0,7954</v>
      </c>
      <c r="E6" s="8" t="s">
        <v>128</v>
      </c>
      <c r="F6" s="8" t="s">
        <v>74</v>
      </c>
      <c r="G6" s="9" t="s">
        <v>237</v>
      </c>
      <c r="H6" s="9" t="s">
        <v>215</v>
      </c>
      <c r="I6" s="9" t="s">
        <v>147</v>
      </c>
      <c r="J6" s="10"/>
      <c r="K6" s="8" t="str">
        <f>"120,0"</f>
        <v>120,0</v>
      </c>
      <c r="L6" s="9" t="str">
        <f>"95,4420"</f>
        <v>95,4420</v>
      </c>
      <c r="M6" s="8" t="s">
        <v>83</v>
      </c>
    </row>
    <row r="8" spans="1:12" ht="15">
      <c r="A8" s="55" t="s">
        <v>123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</row>
    <row r="9" spans="1:13" ht="12.75">
      <c r="A9" s="19" t="s">
        <v>238</v>
      </c>
      <c r="B9" s="19" t="s">
        <v>239</v>
      </c>
      <c r="C9" s="19" t="s">
        <v>240</v>
      </c>
      <c r="D9" s="19" t="str">
        <f>"0,7706"</f>
        <v>0,7706</v>
      </c>
      <c r="E9" s="19" t="s">
        <v>128</v>
      </c>
      <c r="F9" s="19" t="s">
        <v>74</v>
      </c>
      <c r="G9" s="21" t="s">
        <v>45</v>
      </c>
      <c r="H9" s="21" t="s">
        <v>46</v>
      </c>
      <c r="I9" s="21" t="s">
        <v>194</v>
      </c>
      <c r="J9" s="20"/>
      <c r="K9" s="19" t="str">
        <f>"152,5"</f>
        <v>152,5</v>
      </c>
      <c r="L9" s="21" t="str">
        <f>"118,6917"</f>
        <v>118,6917</v>
      </c>
      <c r="M9" s="19" t="s">
        <v>83</v>
      </c>
    </row>
    <row r="10" spans="1:13" ht="12.75">
      <c r="A10" s="22" t="s">
        <v>238</v>
      </c>
      <c r="B10" s="22" t="s">
        <v>241</v>
      </c>
      <c r="C10" s="22" t="s">
        <v>240</v>
      </c>
      <c r="D10" s="22" t="str">
        <f>"0,7706"</f>
        <v>0,7706</v>
      </c>
      <c r="E10" s="22" t="s">
        <v>128</v>
      </c>
      <c r="F10" s="22" t="s">
        <v>74</v>
      </c>
      <c r="G10" s="24" t="s">
        <v>45</v>
      </c>
      <c r="H10" s="24" t="s">
        <v>46</v>
      </c>
      <c r="I10" s="24" t="s">
        <v>194</v>
      </c>
      <c r="J10" s="23"/>
      <c r="K10" s="22" t="str">
        <f>"152,5"</f>
        <v>152,5</v>
      </c>
      <c r="L10" s="24" t="str">
        <f>"117,5165"</f>
        <v>117,5165</v>
      </c>
      <c r="M10" s="22" t="s">
        <v>83</v>
      </c>
    </row>
    <row r="12" spans="1:12" ht="15">
      <c r="A12" s="55" t="s">
        <v>34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</row>
    <row r="13" spans="1:13" ht="12.75">
      <c r="A13" s="8" t="s">
        <v>242</v>
      </c>
      <c r="B13" s="8" t="s">
        <v>243</v>
      </c>
      <c r="C13" s="8" t="s">
        <v>244</v>
      </c>
      <c r="D13" s="8" t="str">
        <f>"0,6701"</f>
        <v>0,6701</v>
      </c>
      <c r="E13" s="8" t="s">
        <v>128</v>
      </c>
      <c r="F13" s="8" t="s">
        <v>245</v>
      </c>
      <c r="G13" s="9" t="s">
        <v>147</v>
      </c>
      <c r="H13" s="9" t="s">
        <v>32</v>
      </c>
      <c r="I13" s="9" t="s">
        <v>41</v>
      </c>
      <c r="J13" s="10"/>
      <c r="K13" s="8" t="str">
        <f>"135,0"</f>
        <v>135,0</v>
      </c>
      <c r="L13" s="9" t="str">
        <f>"153,7879"</f>
        <v>153,7879</v>
      </c>
      <c r="M13" s="8" t="s">
        <v>83</v>
      </c>
    </row>
    <row r="15" spans="1:12" ht="15">
      <c r="A15" s="55" t="s">
        <v>95</v>
      </c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</row>
    <row r="16" spans="1:13" ht="12.75">
      <c r="A16" s="8" t="s">
        <v>246</v>
      </c>
      <c r="B16" s="8" t="s">
        <v>247</v>
      </c>
      <c r="C16" s="8" t="s">
        <v>248</v>
      </c>
      <c r="D16" s="8" t="str">
        <f>"0,5419"</f>
        <v>0,5419</v>
      </c>
      <c r="E16" s="8" t="s">
        <v>128</v>
      </c>
      <c r="F16" s="8" t="s">
        <v>74</v>
      </c>
      <c r="G16" s="9" t="s">
        <v>41</v>
      </c>
      <c r="H16" s="10" t="s">
        <v>45</v>
      </c>
      <c r="I16" s="10" t="s">
        <v>45</v>
      </c>
      <c r="J16" s="10"/>
      <c r="K16" s="8" t="str">
        <f>"135,0"</f>
        <v>135,0</v>
      </c>
      <c r="L16" s="9" t="str">
        <f>"73,1565"</f>
        <v>73,1565</v>
      </c>
      <c r="M16" s="8" t="s">
        <v>249</v>
      </c>
    </row>
    <row r="18" spans="1:12" ht="15">
      <c r="A18" s="55" t="s">
        <v>250</v>
      </c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</row>
    <row r="19" spans="1:13" ht="12.75">
      <c r="A19" s="8" t="s">
        <v>251</v>
      </c>
      <c r="B19" s="8" t="s">
        <v>252</v>
      </c>
      <c r="C19" s="8" t="s">
        <v>253</v>
      </c>
      <c r="D19" s="8" t="str">
        <f>"0,5022"</f>
        <v>0,5022</v>
      </c>
      <c r="E19" s="8" t="s">
        <v>120</v>
      </c>
      <c r="F19" s="8" t="s">
        <v>254</v>
      </c>
      <c r="G19" s="9" t="s">
        <v>255</v>
      </c>
      <c r="H19" s="9" t="s">
        <v>81</v>
      </c>
      <c r="I19" s="9" t="s">
        <v>256</v>
      </c>
      <c r="J19" s="10"/>
      <c r="K19" s="8" t="str">
        <f>"230,0"</f>
        <v>230,0</v>
      </c>
      <c r="L19" s="9" t="str">
        <f>"115,5014"</f>
        <v>115,5014</v>
      </c>
      <c r="M19" s="8" t="s">
        <v>257</v>
      </c>
    </row>
    <row r="21" ht="15">
      <c r="E21" s="11" t="s">
        <v>511</v>
      </c>
    </row>
    <row r="22" spans="5:6" ht="15">
      <c r="E22" s="11" t="s">
        <v>49</v>
      </c>
      <c r="F22" s="35" t="s">
        <v>508</v>
      </c>
    </row>
    <row r="23" ht="15">
      <c r="E23" s="11" t="s">
        <v>512</v>
      </c>
    </row>
    <row r="24" ht="15">
      <c r="E24" s="11" t="s">
        <v>513</v>
      </c>
    </row>
    <row r="25" ht="15">
      <c r="E25" s="11" t="s">
        <v>514</v>
      </c>
    </row>
    <row r="26" ht="15">
      <c r="E26" s="11"/>
    </row>
    <row r="29" spans="2:13" ht="12.75">
      <c r="B29" s="3"/>
      <c r="C29" s="3"/>
      <c r="D29" s="3"/>
      <c r="E29" s="3"/>
      <c r="H29" s="4"/>
      <c r="K29" s="3"/>
      <c r="M29" s="3"/>
    </row>
    <row r="30" spans="2:13" ht="12.75">
      <c r="B30" s="3"/>
      <c r="C30" s="3"/>
      <c r="D30" s="3"/>
      <c r="E30" s="3"/>
      <c r="H30" s="4"/>
      <c r="K30" s="3"/>
      <c r="M30" s="3"/>
    </row>
    <row r="31" spans="2:13" ht="12.75">
      <c r="B31" s="3"/>
      <c r="C31" s="3"/>
      <c r="D31" s="3"/>
      <c r="E31" s="3"/>
      <c r="H31" s="4"/>
      <c r="K31" s="3"/>
      <c r="M31" s="3"/>
    </row>
    <row r="32" spans="2:13" ht="12.75">
      <c r="B32" s="3"/>
      <c r="C32" s="3"/>
      <c r="D32" s="3"/>
      <c r="E32" s="3"/>
      <c r="H32" s="4"/>
      <c r="K32" s="3"/>
      <c r="M32" s="3"/>
    </row>
    <row r="33" spans="2:13" ht="12.75">
      <c r="B33" s="3"/>
      <c r="C33" s="3"/>
      <c r="D33" s="3"/>
      <c r="E33" s="3"/>
      <c r="H33" s="4"/>
      <c r="K33" s="3"/>
      <c r="M33" s="3"/>
    </row>
    <row r="34" spans="2:13" ht="12.75">
      <c r="B34" s="3"/>
      <c r="C34" s="3"/>
      <c r="D34" s="3"/>
      <c r="E34" s="3"/>
      <c r="H34" s="4"/>
      <c r="K34" s="3"/>
      <c r="M34" s="3"/>
    </row>
    <row r="35" spans="2:13" ht="12.75">
      <c r="B35" s="3"/>
      <c r="C35" s="3"/>
      <c r="D35" s="3"/>
      <c r="E35" s="3"/>
      <c r="H35" s="4"/>
      <c r="K35" s="3"/>
      <c r="M35" s="3"/>
    </row>
    <row r="36" spans="2:13" ht="12.75">
      <c r="B36" s="3"/>
      <c r="C36" s="3"/>
      <c r="D36" s="3"/>
      <c r="E36" s="3"/>
      <c r="H36" s="4"/>
      <c r="K36" s="3"/>
      <c r="M36" s="3"/>
    </row>
    <row r="37" spans="2:13" ht="12.75">
      <c r="B37" s="3"/>
      <c r="C37" s="3"/>
      <c r="D37" s="3"/>
      <c r="E37" s="3"/>
      <c r="H37" s="4"/>
      <c r="K37" s="3"/>
      <c r="M37" s="3"/>
    </row>
    <row r="38" spans="2:13" ht="12.75">
      <c r="B38" s="3"/>
      <c r="C38" s="3"/>
      <c r="D38" s="3"/>
      <c r="E38" s="3"/>
      <c r="H38" s="4"/>
      <c r="K38" s="3"/>
      <c r="M38" s="3"/>
    </row>
    <row r="39" spans="2:13" ht="12.75">
      <c r="B39" s="3"/>
      <c r="C39" s="3"/>
      <c r="D39" s="3"/>
      <c r="E39" s="3"/>
      <c r="H39" s="4"/>
      <c r="K39" s="3"/>
      <c r="M39" s="3"/>
    </row>
    <row r="40" spans="2:13" ht="12.75">
      <c r="B40" s="3"/>
      <c r="C40" s="3"/>
      <c r="D40" s="3"/>
      <c r="E40" s="3"/>
      <c r="H40" s="4"/>
      <c r="K40" s="3"/>
      <c r="M40" s="3"/>
    </row>
    <row r="41" spans="2:13" ht="12.75">
      <c r="B41" s="3"/>
      <c r="C41" s="3"/>
      <c r="D41" s="3"/>
      <c r="E41" s="3"/>
      <c r="H41" s="4"/>
      <c r="K41" s="3"/>
      <c r="M41" s="3"/>
    </row>
    <row r="42" spans="2:13" ht="12.75">
      <c r="B42" s="3"/>
      <c r="C42" s="3"/>
      <c r="D42" s="3"/>
      <c r="E42" s="3"/>
      <c r="H42" s="4"/>
      <c r="K42" s="3"/>
      <c r="M42" s="3"/>
    </row>
    <row r="43" spans="2:13" ht="12.75">
      <c r="B43" s="3"/>
      <c r="C43" s="3"/>
      <c r="D43" s="3"/>
      <c r="E43" s="3"/>
      <c r="H43" s="4"/>
      <c r="K43" s="3"/>
      <c r="M43" s="3"/>
    </row>
    <row r="44" spans="2:13" ht="12.75">
      <c r="B44" s="3"/>
      <c r="C44" s="3"/>
      <c r="D44" s="3"/>
      <c r="E44" s="3"/>
      <c r="H44" s="4"/>
      <c r="K44" s="3"/>
      <c r="M44" s="3"/>
    </row>
    <row r="45" spans="2:13" ht="12.75">
      <c r="B45" s="3"/>
      <c r="C45" s="3"/>
      <c r="D45" s="3"/>
      <c r="E45" s="3"/>
      <c r="H45" s="4"/>
      <c r="K45" s="3"/>
      <c r="M45" s="3"/>
    </row>
    <row r="46" spans="2:13" ht="12.75">
      <c r="B46" s="3"/>
      <c r="C46" s="3"/>
      <c r="D46" s="3"/>
      <c r="E46" s="3"/>
      <c r="H46" s="4"/>
      <c r="K46" s="3"/>
      <c r="M46" s="3"/>
    </row>
    <row r="47" spans="2:13" ht="12.75">
      <c r="B47" s="3"/>
      <c r="C47" s="3"/>
      <c r="D47" s="3"/>
      <c r="E47" s="3"/>
      <c r="H47" s="4"/>
      <c r="K47" s="3"/>
      <c r="M47" s="3"/>
    </row>
    <row r="48" spans="2:13" ht="12.75">
      <c r="B48" s="3"/>
      <c r="C48" s="3"/>
      <c r="D48" s="3"/>
      <c r="E48" s="3"/>
      <c r="H48" s="4"/>
      <c r="K48" s="3"/>
      <c r="M48" s="3"/>
    </row>
    <row r="49" spans="2:13" ht="12.75">
      <c r="B49" s="3"/>
      <c r="C49" s="3"/>
      <c r="D49" s="3"/>
      <c r="E49" s="3"/>
      <c r="H49" s="4"/>
      <c r="K49" s="3"/>
      <c r="M49" s="3"/>
    </row>
  </sheetData>
  <sheetProtection/>
  <mergeCells count="16">
    <mergeCell ref="A15:L15"/>
    <mergeCell ref="A18:L18"/>
    <mergeCell ref="K3:K4"/>
    <mergeCell ref="L3:L4"/>
    <mergeCell ref="M3:M4"/>
    <mergeCell ref="A5:L5"/>
    <mergeCell ref="A8:L8"/>
    <mergeCell ref="A12:L12"/>
    <mergeCell ref="A1:M2"/>
    <mergeCell ref="A3:A4"/>
    <mergeCell ref="B3:B4"/>
    <mergeCell ref="C3:C4"/>
    <mergeCell ref="D3:D4"/>
    <mergeCell ref="E3:E4"/>
    <mergeCell ref="F3:F4"/>
    <mergeCell ref="G3:J3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M78"/>
  <sheetViews>
    <sheetView tabSelected="1" zoomScalePageLayoutView="0" workbookViewId="0" topLeftCell="A1">
      <selection activeCell="E41" sqref="E41"/>
    </sheetView>
  </sheetViews>
  <sheetFormatPr defaultColWidth="9.00390625" defaultRowHeight="12.75"/>
  <cols>
    <col min="1" max="1" width="26.00390625" style="4" bestFit="1" customWidth="1"/>
    <col min="2" max="2" width="28.625" style="4" bestFit="1" customWidth="1"/>
    <col min="3" max="3" width="10.625" style="4" bestFit="1" customWidth="1"/>
    <col min="4" max="4" width="9.25390625" style="4" bestFit="1" customWidth="1"/>
    <col min="5" max="5" width="22.75390625" style="4" bestFit="1" customWidth="1"/>
    <col min="6" max="6" width="29.00390625" style="4" bestFit="1" customWidth="1"/>
    <col min="7" max="9" width="6.625" style="3" bestFit="1" customWidth="1"/>
    <col min="10" max="10" width="4.875" style="3" bestFit="1" customWidth="1"/>
    <col min="11" max="11" width="7.875" style="4" bestFit="1" customWidth="1"/>
    <col min="12" max="12" width="8.625" style="3" bestFit="1" customWidth="1"/>
    <col min="13" max="13" width="15.75390625" style="4" bestFit="1" customWidth="1"/>
    <col min="14" max="16384" width="9.125" style="3" customWidth="1"/>
  </cols>
  <sheetData>
    <row r="1" spans="1:13" s="2" customFormat="1" ht="28.5" customHeight="1">
      <c r="A1" s="54" t="s">
        <v>122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4"/>
    </row>
    <row r="2" spans="1:13" s="2" customFormat="1" ht="61.5" customHeight="1" thickBot="1">
      <c r="A2" s="45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s="1" customFormat="1" ht="12.75" customHeight="1">
      <c r="A3" s="48" t="s">
        <v>0</v>
      </c>
      <c r="B3" s="50" t="s">
        <v>10</v>
      </c>
      <c r="C3" s="50" t="s">
        <v>11</v>
      </c>
      <c r="D3" s="52" t="s">
        <v>14</v>
      </c>
      <c r="E3" s="52" t="s">
        <v>7</v>
      </c>
      <c r="F3" s="52" t="s">
        <v>12</v>
      </c>
      <c r="G3" s="52" t="s">
        <v>16</v>
      </c>
      <c r="H3" s="52"/>
      <c r="I3" s="52"/>
      <c r="J3" s="52"/>
      <c r="K3" s="52" t="s">
        <v>118</v>
      </c>
      <c r="L3" s="52" t="s">
        <v>6</v>
      </c>
      <c r="M3" s="40" t="s">
        <v>5</v>
      </c>
    </row>
    <row r="4" spans="1:13" s="1" customFormat="1" ht="21" customHeight="1" thickBot="1">
      <c r="A4" s="49"/>
      <c r="B4" s="51"/>
      <c r="C4" s="51"/>
      <c r="D4" s="51"/>
      <c r="E4" s="51"/>
      <c r="F4" s="51"/>
      <c r="G4" s="7">
        <v>1</v>
      </c>
      <c r="H4" s="7">
        <v>2</v>
      </c>
      <c r="I4" s="7">
        <v>3</v>
      </c>
      <c r="J4" s="7" t="s">
        <v>8</v>
      </c>
      <c r="K4" s="51"/>
      <c r="L4" s="51"/>
      <c r="M4" s="41"/>
    </row>
    <row r="5" spans="1:12" ht="15">
      <c r="A5" s="53" t="s">
        <v>123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</row>
    <row r="6" spans="1:13" ht="12.75">
      <c r="A6" s="8" t="s">
        <v>125</v>
      </c>
      <c r="B6" s="8" t="s">
        <v>126</v>
      </c>
      <c r="C6" s="8" t="s">
        <v>127</v>
      </c>
      <c r="D6" s="8" t="str">
        <f>"0,7893"</f>
        <v>0,7893</v>
      </c>
      <c r="E6" s="8" t="s">
        <v>128</v>
      </c>
      <c r="F6" s="8" t="s">
        <v>74</v>
      </c>
      <c r="G6" s="9" t="s">
        <v>129</v>
      </c>
      <c r="H6" s="9" t="s">
        <v>130</v>
      </c>
      <c r="I6" s="10" t="s">
        <v>131</v>
      </c>
      <c r="J6" s="10"/>
      <c r="K6" s="8" t="str">
        <f>"62,5"</f>
        <v>62,5</v>
      </c>
      <c r="L6" s="9" t="str">
        <f>"49,3281"</f>
        <v>49,3281</v>
      </c>
      <c r="M6" s="8" t="s">
        <v>132</v>
      </c>
    </row>
    <row r="8" spans="1:12" ht="15">
      <c r="A8" s="55" t="s">
        <v>133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</row>
    <row r="9" spans="1:13" ht="12.75">
      <c r="A9" s="8" t="s">
        <v>134</v>
      </c>
      <c r="B9" s="8" t="s">
        <v>135</v>
      </c>
      <c r="C9" s="8" t="s">
        <v>136</v>
      </c>
      <c r="D9" s="8" t="str">
        <f>"0,8128"</f>
        <v>0,8128</v>
      </c>
      <c r="E9" s="8" t="s">
        <v>120</v>
      </c>
      <c r="F9" s="8" t="s">
        <v>121</v>
      </c>
      <c r="G9" s="9" t="s">
        <v>137</v>
      </c>
      <c r="H9" s="9" t="s">
        <v>78</v>
      </c>
      <c r="I9" s="10" t="s">
        <v>32</v>
      </c>
      <c r="J9" s="10"/>
      <c r="K9" s="8" t="str">
        <f>"115,0"</f>
        <v>115,0</v>
      </c>
      <c r="L9" s="9" t="str">
        <f>"94,4067"</f>
        <v>94,4067</v>
      </c>
      <c r="M9" s="8" t="s">
        <v>83</v>
      </c>
    </row>
    <row r="11" spans="1:12" ht="15">
      <c r="A11" s="55" t="s">
        <v>123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</row>
    <row r="12" spans="1:13" ht="12.75">
      <c r="A12" s="19" t="s">
        <v>139</v>
      </c>
      <c r="B12" s="19" t="s">
        <v>140</v>
      </c>
      <c r="C12" s="19" t="s">
        <v>141</v>
      </c>
      <c r="D12" s="19" t="str">
        <f>"0,7545"</f>
        <v>0,7545</v>
      </c>
      <c r="E12" s="19" t="s">
        <v>23</v>
      </c>
      <c r="F12" s="19" t="s">
        <v>74</v>
      </c>
      <c r="G12" s="21" t="s">
        <v>26</v>
      </c>
      <c r="H12" s="21" t="s">
        <v>27</v>
      </c>
      <c r="I12" s="21" t="s">
        <v>142</v>
      </c>
      <c r="J12" s="20"/>
      <c r="K12" s="19" t="str">
        <f>"97,5"</f>
        <v>97,5</v>
      </c>
      <c r="L12" s="21" t="str">
        <f>"86,8052"</f>
        <v>86,8052</v>
      </c>
      <c r="M12" s="19" t="s">
        <v>83</v>
      </c>
    </row>
    <row r="13" spans="1:13" ht="12.75">
      <c r="A13" s="22" t="s">
        <v>144</v>
      </c>
      <c r="B13" s="22" t="s">
        <v>145</v>
      </c>
      <c r="C13" s="22" t="s">
        <v>146</v>
      </c>
      <c r="D13" s="22" t="str">
        <f>"0,7258"</f>
        <v>0,7258</v>
      </c>
      <c r="E13" s="22" t="s">
        <v>128</v>
      </c>
      <c r="F13" s="22" t="s">
        <v>74</v>
      </c>
      <c r="G13" s="24" t="s">
        <v>147</v>
      </c>
      <c r="H13" s="24" t="s">
        <v>148</v>
      </c>
      <c r="I13" s="23" t="s">
        <v>32</v>
      </c>
      <c r="J13" s="23"/>
      <c r="K13" s="22" t="str">
        <f>"127,5"</f>
        <v>127,5</v>
      </c>
      <c r="L13" s="24" t="str">
        <f>"92,5395"</f>
        <v>92,5395</v>
      </c>
      <c r="M13" s="22" t="s">
        <v>149</v>
      </c>
    </row>
    <row r="15" spans="1:12" ht="15">
      <c r="A15" s="55" t="s">
        <v>34</v>
      </c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</row>
    <row r="16" spans="1:13" ht="12.75">
      <c r="A16" s="19" t="s">
        <v>151</v>
      </c>
      <c r="B16" s="19" t="s">
        <v>152</v>
      </c>
      <c r="C16" s="19" t="s">
        <v>153</v>
      </c>
      <c r="D16" s="19" t="str">
        <f>"0,6737"</f>
        <v>0,6737</v>
      </c>
      <c r="E16" s="19" t="s">
        <v>128</v>
      </c>
      <c r="F16" s="19" t="s">
        <v>74</v>
      </c>
      <c r="G16" s="21" t="s">
        <v>154</v>
      </c>
      <c r="H16" s="20" t="s">
        <v>147</v>
      </c>
      <c r="I16" s="21" t="s">
        <v>147</v>
      </c>
      <c r="J16" s="20"/>
      <c r="K16" s="19" t="str">
        <f>"120,0"</f>
        <v>120,0</v>
      </c>
      <c r="L16" s="21" t="str">
        <f>"82,4609"</f>
        <v>82,4609</v>
      </c>
      <c r="M16" s="19" t="s">
        <v>83</v>
      </c>
    </row>
    <row r="18" spans="1:12" ht="15">
      <c r="A18" s="55" t="s">
        <v>69</v>
      </c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</row>
    <row r="19" spans="1:13" ht="12.75">
      <c r="A19" s="8" t="s">
        <v>156</v>
      </c>
      <c r="B19" s="8" t="s">
        <v>157</v>
      </c>
      <c r="C19" s="8" t="s">
        <v>158</v>
      </c>
      <c r="D19" s="8" t="str">
        <f>"0,6251"</f>
        <v>0,6251</v>
      </c>
      <c r="E19" s="8" t="s">
        <v>128</v>
      </c>
      <c r="F19" s="8" t="s">
        <v>74</v>
      </c>
      <c r="G19" s="9" t="s">
        <v>159</v>
      </c>
      <c r="H19" s="10" t="s">
        <v>160</v>
      </c>
      <c r="I19" s="9" t="s">
        <v>160</v>
      </c>
      <c r="J19" s="10"/>
      <c r="K19" s="8" t="str">
        <f>"75,0"</f>
        <v>75,0</v>
      </c>
      <c r="L19" s="9" t="str">
        <f>"57,6655"</f>
        <v>57,6655</v>
      </c>
      <c r="M19" s="8" t="s">
        <v>161</v>
      </c>
    </row>
    <row r="21" spans="1:12" ht="15">
      <c r="A21" s="55" t="s">
        <v>162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</row>
    <row r="22" spans="1:13" ht="12.75">
      <c r="A22" s="19" t="s">
        <v>164</v>
      </c>
      <c r="B22" s="19" t="s">
        <v>165</v>
      </c>
      <c r="C22" s="19" t="s">
        <v>166</v>
      </c>
      <c r="D22" s="19" t="str">
        <f>"0,5960"</f>
        <v>0,5960</v>
      </c>
      <c r="E22" s="19" t="s">
        <v>128</v>
      </c>
      <c r="F22" s="19" t="s">
        <v>74</v>
      </c>
      <c r="G22" s="21" t="s">
        <v>41</v>
      </c>
      <c r="H22" s="21" t="s">
        <v>42</v>
      </c>
      <c r="I22" s="20" t="s">
        <v>46</v>
      </c>
      <c r="J22" s="20"/>
      <c r="K22" s="19" t="str">
        <f>"140,0"</f>
        <v>140,0</v>
      </c>
      <c r="L22" s="21" t="str">
        <f>"83,4400"</f>
        <v>83,4400</v>
      </c>
      <c r="M22" s="19" t="s">
        <v>83</v>
      </c>
    </row>
    <row r="23" spans="1:13" ht="12.75">
      <c r="A23" s="25" t="s">
        <v>168</v>
      </c>
      <c r="B23" s="25" t="s">
        <v>169</v>
      </c>
      <c r="C23" s="25" t="s">
        <v>170</v>
      </c>
      <c r="D23" s="25" t="str">
        <f>"0,5956"</f>
        <v>0,5956</v>
      </c>
      <c r="E23" s="25" t="s">
        <v>39</v>
      </c>
      <c r="F23" s="25" t="s">
        <v>24</v>
      </c>
      <c r="G23" s="27" t="s">
        <v>171</v>
      </c>
      <c r="H23" s="27" t="s">
        <v>147</v>
      </c>
      <c r="I23" s="26" t="s">
        <v>172</v>
      </c>
      <c r="J23" s="26"/>
      <c r="K23" s="25" t="str">
        <f>"120,0"</f>
        <v>120,0</v>
      </c>
      <c r="L23" s="27" t="str">
        <f>"71,4720"</f>
        <v>71,4720</v>
      </c>
      <c r="M23" s="25" t="s">
        <v>173</v>
      </c>
    </row>
    <row r="24" spans="1:13" ht="12.75">
      <c r="A24" s="25" t="s">
        <v>175</v>
      </c>
      <c r="B24" s="25" t="s">
        <v>176</v>
      </c>
      <c r="C24" s="25" t="s">
        <v>177</v>
      </c>
      <c r="D24" s="25" t="str">
        <f>"0,5853"</f>
        <v>0,5853</v>
      </c>
      <c r="E24" s="25" t="s">
        <v>39</v>
      </c>
      <c r="F24" s="25" t="s">
        <v>24</v>
      </c>
      <c r="G24" s="27" t="s">
        <v>171</v>
      </c>
      <c r="H24" s="27" t="s">
        <v>154</v>
      </c>
      <c r="I24" s="26" t="s">
        <v>147</v>
      </c>
      <c r="J24" s="26"/>
      <c r="K24" s="25" t="str">
        <f>"117,5"</f>
        <v>117,5</v>
      </c>
      <c r="L24" s="27" t="str">
        <f>"70,9047"</f>
        <v>70,9047</v>
      </c>
      <c r="M24" s="25" t="s">
        <v>173</v>
      </c>
    </row>
    <row r="25" spans="1:13" ht="12.75">
      <c r="A25" s="25" t="s">
        <v>179</v>
      </c>
      <c r="B25" s="25" t="s">
        <v>180</v>
      </c>
      <c r="C25" s="25" t="s">
        <v>181</v>
      </c>
      <c r="D25" s="25" t="str">
        <f>"0,5857"</f>
        <v>0,5857</v>
      </c>
      <c r="E25" s="25" t="s">
        <v>23</v>
      </c>
      <c r="F25" s="25" t="s">
        <v>182</v>
      </c>
      <c r="G25" s="26" t="s">
        <v>172</v>
      </c>
      <c r="H25" s="26" t="s">
        <v>32</v>
      </c>
      <c r="I25" s="27" t="s">
        <v>108</v>
      </c>
      <c r="J25" s="26"/>
      <c r="K25" s="25" t="str">
        <f>"130,0"</f>
        <v>130,0</v>
      </c>
      <c r="L25" s="27" t="str">
        <f>"108,8816"</f>
        <v>108,8816</v>
      </c>
      <c r="M25" s="25" t="s">
        <v>83</v>
      </c>
    </row>
    <row r="27" spans="1:12" ht="15">
      <c r="A27" s="55" t="s">
        <v>89</v>
      </c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</row>
    <row r="28" spans="1:13" ht="12.75">
      <c r="A28" s="19" t="s">
        <v>184</v>
      </c>
      <c r="B28" s="19" t="s">
        <v>185</v>
      </c>
      <c r="C28" s="19" t="s">
        <v>186</v>
      </c>
      <c r="D28" s="19" t="str">
        <f>"0,5717"</f>
        <v>0,5717</v>
      </c>
      <c r="E28" s="19" t="s">
        <v>23</v>
      </c>
      <c r="F28" s="19" t="s">
        <v>74</v>
      </c>
      <c r="G28" s="21" t="s">
        <v>187</v>
      </c>
      <c r="H28" s="21" t="s">
        <v>75</v>
      </c>
      <c r="I28" s="21" t="s">
        <v>188</v>
      </c>
      <c r="J28" s="20"/>
      <c r="K28" s="19" t="str">
        <f>"172,5"</f>
        <v>172,5</v>
      </c>
      <c r="L28" s="21" t="str">
        <f>"98,6182"</f>
        <v>98,6182</v>
      </c>
      <c r="M28" s="19" t="s">
        <v>83</v>
      </c>
    </row>
    <row r="29" spans="1:13" ht="12.75">
      <c r="A29" s="25" t="s">
        <v>190</v>
      </c>
      <c r="B29" s="25" t="s">
        <v>191</v>
      </c>
      <c r="C29" s="25" t="s">
        <v>192</v>
      </c>
      <c r="D29" s="25" t="str">
        <f>"0,5581"</f>
        <v>0,5581</v>
      </c>
      <c r="E29" s="25" t="s">
        <v>128</v>
      </c>
      <c r="F29" s="25" t="s">
        <v>193</v>
      </c>
      <c r="G29" s="26" t="s">
        <v>194</v>
      </c>
      <c r="H29" s="27" t="s">
        <v>194</v>
      </c>
      <c r="I29" s="26" t="s">
        <v>195</v>
      </c>
      <c r="J29" s="26"/>
      <c r="K29" s="25" t="str">
        <f>"152,5"</f>
        <v>152,5</v>
      </c>
      <c r="L29" s="27" t="str">
        <f>"85,1102"</f>
        <v>85,1102</v>
      </c>
      <c r="M29" s="25" t="s">
        <v>83</v>
      </c>
    </row>
    <row r="30" spans="1:13" ht="12.75">
      <c r="A30" s="22" t="s">
        <v>197</v>
      </c>
      <c r="B30" s="22" t="s">
        <v>198</v>
      </c>
      <c r="C30" s="22" t="s">
        <v>93</v>
      </c>
      <c r="D30" s="22" t="str">
        <f>"0,5589"</f>
        <v>0,5589</v>
      </c>
      <c r="E30" s="22" t="s">
        <v>128</v>
      </c>
      <c r="F30" s="22" t="s">
        <v>74</v>
      </c>
      <c r="G30" s="23" t="s">
        <v>199</v>
      </c>
      <c r="H30" s="24" t="s">
        <v>199</v>
      </c>
      <c r="I30" s="23" t="s">
        <v>200</v>
      </c>
      <c r="J30" s="23"/>
      <c r="K30" s="22" t="str">
        <f>"142,5"</f>
        <v>142,5</v>
      </c>
      <c r="L30" s="24" t="str">
        <f>"79,6432"</f>
        <v>79,6432</v>
      </c>
      <c r="M30" s="22" t="s">
        <v>161</v>
      </c>
    </row>
    <row r="32" spans="1:12" ht="15">
      <c r="A32" s="55" t="s">
        <v>95</v>
      </c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</row>
    <row r="33" spans="1:13" ht="12.75">
      <c r="A33" s="19" t="s">
        <v>97</v>
      </c>
      <c r="B33" s="19" t="s">
        <v>98</v>
      </c>
      <c r="C33" s="19" t="s">
        <v>99</v>
      </c>
      <c r="D33" s="19" t="str">
        <f>"0,5385"</f>
        <v>0,5385</v>
      </c>
      <c r="E33" s="19" t="s">
        <v>23</v>
      </c>
      <c r="F33" s="19" t="s">
        <v>74</v>
      </c>
      <c r="G33" s="20" t="s">
        <v>201</v>
      </c>
      <c r="H33" s="21" t="s">
        <v>202</v>
      </c>
      <c r="I33" s="21" t="s">
        <v>75</v>
      </c>
      <c r="J33" s="20"/>
      <c r="K33" s="19" t="str">
        <f>"167,5"</f>
        <v>167,5</v>
      </c>
      <c r="L33" s="21" t="str">
        <f>"90,1988"</f>
        <v>90,1988</v>
      </c>
      <c r="M33" s="19" t="s">
        <v>102</v>
      </c>
    </row>
    <row r="34" spans="1:13" ht="12.75">
      <c r="A34" s="22" t="s">
        <v>204</v>
      </c>
      <c r="B34" s="22" t="s">
        <v>205</v>
      </c>
      <c r="C34" s="22" t="s">
        <v>206</v>
      </c>
      <c r="D34" s="22" t="str">
        <f>"0,5444"</f>
        <v>0,5444</v>
      </c>
      <c r="E34" s="22" t="s">
        <v>128</v>
      </c>
      <c r="F34" s="22" t="s">
        <v>74</v>
      </c>
      <c r="G34" s="23" t="s">
        <v>199</v>
      </c>
      <c r="H34" s="24" t="s">
        <v>199</v>
      </c>
      <c r="I34" s="23" t="s">
        <v>200</v>
      </c>
      <c r="J34" s="23"/>
      <c r="K34" s="22" t="str">
        <f>"142,5"</f>
        <v>142,5</v>
      </c>
      <c r="L34" s="24" t="str">
        <f>"77,5770"</f>
        <v>77,5770</v>
      </c>
      <c r="M34" s="22" t="s">
        <v>161</v>
      </c>
    </row>
    <row r="36" ht="15">
      <c r="E36" s="11" t="s">
        <v>515</v>
      </c>
    </row>
    <row r="37" spans="5:6" ht="15">
      <c r="E37" s="11" t="s">
        <v>49</v>
      </c>
      <c r="F37" s="35" t="s">
        <v>508</v>
      </c>
    </row>
    <row r="38" ht="15">
      <c r="E38" s="11" t="s">
        <v>512</v>
      </c>
    </row>
    <row r="39" ht="15">
      <c r="E39" s="11" t="s">
        <v>516</v>
      </c>
    </row>
    <row r="40" ht="15">
      <c r="E40" s="11" t="s">
        <v>513</v>
      </c>
    </row>
    <row r="41" ht="15">
      <c r="E41" s="11"/>
    </row>
    <row r="43" spans="1:2" ht="18">
      <c r="A43" s="12" t="s">
        <v>52</v>
      </c>
      <c r="B43" s="12"/>
    </row>
    <row r="44" spans="1:2" ht="15">
      <c r="A44" s="13" t="s">
        <v>53</v>
      </c>
      <c r="B44" s="13"/>
    </row>
    <row r="45" spans="1:2" ht="14.25">
      <c r="A45" s="15"/>
      <c r="B45" s="16" t="s">
        <v>54</v>
      </c>
    </row>
    <row r="46" spans="1:5" ht="15">
      <c r="A46" s="17" t="s">
        <v>55</v>
      </c>
      <c r="B46" s="17" t="s">
        <v>56</v>
      </c>
      <c r="C46" s="17" t="s">
        <v>57</v>
      </c>
      <c r="D46" s="17" t="s">
        <v>58</v>
      </c>
      <c r="E46" s="17" t="s">
        <v>59</v>
      </c>
    </row>
    <row r="47" spans="1:5" ht="12.75">
      <c r="A47" s="14" t="s">
        <v>124</v>
      </c>
      <c r="B47" s="4" t="s">
        <v>54</v>
      </c>
      <c r="C47" s="4" t="s">
        <v>207</v>
      </c>
      <c r="D47" s="4" t="s">
        <v>130</v>
      </c>
      <c r="E47" s="18" t="s">
        <v>208</v>
      </c>
    </row>
    <row r="50" spans="1:2" ht="15">
      <c r="A50" s="13" t="s">
        <v>63</v>
      </c>
      <c r="B50" s="13"/>
    </row>
    <row r="51" spans="1:2" ht="14.25">
      <c r="A51" s="15"/>
      <c r="B51" s="16" t="s">
        <v>209</v>
      </c>
    </row>
    <row r="52" spans="1:5" ht="15">
      <c r="A52" s="17" t="s">
        <v>55</v>
      </c>
      <c r="B52" s="17" t="s">
        <v>56</v>
      </c>
      <c r="C52" s="17" t="s">
        <v>57</v>
      </c>
      <c r="D52" s="17" t="s">
        <v>58</v>
      </c>
      <c r="E52" s="17" t="s">
        <v>59</v>
      </c>
    </row>
    <row r="53" spans="1:5" ht="12.75">
      <c r="A53" s="14" t="s">
        <v>138</v>
      </c>
      <c r="B53" s="4" t="s">
        <v>209</v>
      </c>
      <c r="C53" s="4" t="s">
        <v>207</v>
      </c>
      <c r="D53" s="4" t="s">
        <v>210</v>
      </c>
      <c r="E53" s="18" t="s">
        <v>211</v>
      </c>
    </row>
    <row r="54" spans="1:5" ht="12.75">
      <c r="A54" s="14" t="s">
        <v>155</v>
      </c>
      <c r="B54" s="4" t="s">
        <v>209</v>
      </c>
      <c r="C54" s="4" t="s">
        <v>85</v>
      </c>
      <c r="D54" s="4" t="s">
        <v>160</v>
      </c>
      <c r="E54" s="18" t="s">
        <v>212</v>
      </c>
    </row>
    <row r="56" spans="1:2" ht="14.25">
      <c r="A56" s="15"/>
      <c r="B56" s="16" t="s">
        <v>213</v>
      </c>
    </row>
    <row r="57" spans="1:5" ht="15">
      <c r="A57" s="17" t="s">
        <v>55</v>
      </c>
      <c r="B57" s="17" t="s">
        <v>56</v>
      </c>
      <c r="C57" s="17" t="s">
        <v>57</v>
      </c>
      <c r="D57" s="17" t="s">
        <v>58</v>
      </c>
      <c r="E57" s="17" t="s">
        <v>59</v>
      </c>
    </row>
    <row r="58" spans="1:5" ht="12.75">
      <c r="A58" s="14" t="s">
        <v>119</v>
      </c>
      <c r="B58" s="4" t="s">
        <v>213</v>
      </c>
      <c r="C58" s="4" t="s">
        <v>214</v>
      </c>
      <c r="D58" s="4" t="s">
        <v>215</v>
      </c>
      <c r="E58" s="18" t="s">
        <v>216</v>
      </c>
    </row>
    <row r="59" spans="1:5" ht="12.75">
      <c r="A59" s="14" t="s">
        <v>150</v>
      </c>
      <c r="B59" s="4" t="s">
        <v>213</v>
      </c>
      <c r="C59" s="4" t="s">
        <v>65</v>
      </c>
      <c r="D59" s="4" t="s">
        <v>147</v>
      </c>
      <c r="E59" s="18" t="s">
        <v>217</v>
      </c>
    </row>
    <row r="61" spans="1:2" ht="14.25">
      <c r="A61" s="15"/>
      <c r="B61" s="16" t="s">
        <v>54</v>
      </c>
    </row>
    <row r="62" spans="1:5" ht="15">
      <c r="A62" s="17" t="s">
        <v>55</v>
      </c>
      <c r="B62" s="17" t="s">
        <v>56</v>
      </c>
      <c r="C62" s="17" t="s">
        <v>57</v>
      </c>
      <c r="D62" s="17" t="s">
        <v>58</v>
      </c>
      <c r="E62" s="17" t="s">
        <v>59</v>
      </c>
    </row>
    <row r="63" spans="1:5" ht="12.75">
      <c r="A63" s="14" t="s">
        <v>183</v>
      </c>
      <c r="B63" s="4" t="s">
        <v>54</v>
      </c>
      <c r="C63" s="4" t="s">
        <v>113</v>
      </c>
      <c r="D63" s="4" t="s">
        <v>218</v>
      </c>
      <c r="E63" s="18" t="s">
        <v>219</v>
      </c>
    </row>
    <row r="64" spans="1:5" ht="12.75">
      <c r="A64" s="14" t="s">
        <v>143</v>
      </c>
      <c r="B64" s="4" t="s">
        <v>54</v>
      </c>
      <c r="C64" s="4" t="s">
        <v>207</v>
      </c>
      <c r="D64" s="4" t="s">
        <v>148</v>
      </c>
      <c r="E64" s="18" t="s">
        <v>220</v>
      </c>
    </row>
    <row r="65" spans="1:5" ht="12.75">
      <c r="A65" s="14" t="s">
        <v>96</v>
      </c>
      <c r="B65" s="4" t="s">
        <v>54</v>
      </c>
      <c r="C65" s="4" t="s">
        <v>110</v>
      </c>
      <c r="D65" s="4" t="s">
        <v>221</v>
      </c>
      <c r="E65" s="18" t="s">
        <v>222</v>
      </c>
    </row>
    <row r="66" spans="1:5" ht="12.75">
      <c r="A66" s="14" t="s">
        <v>189</v>
      </c>
      <c r="B66" s="4" t="s">
        <v>54</v>
      </c>
      <c r="C66" s="4" t="s">
        <v>113</v>
      </c>
      <c r="D66" s="4" t="s">
        <v>194</v>
      </c>
      <c r="E66" s="18" t="s">
        <v>223</v>
      </c>
    </row>
    <row r="67" spans="1:5" ht="12.75">
      <c r="A67" s="14" t="s">
        <v>163</v>
      </c>
      <c r="B67" s="4" t="s">
        <v>54</v>
      </c>
      <c r="C67" s="4" t="s">
        <v>224</v>
      </c>
      <c r="D67" s="4" t="s">
        <v>42</v>
      </c>
      <c r="E67" s="18" t="s">
        <v>225</v>
      </c>
    </row>
    <row r="68" spans="1:5" ht="12.75">
      <c r="A68" s="14" t="s">
        <v>196</v>
      </c>
      <c r="B68" s="4" t="s">
        <v>54</v>
      </c>
      <c r="C68" s="4" t="s">
        <v>113</v>
      </c>
      <c r="D68" s="4" t="s">
        <v>199</v>
      </c>
      <c r="E68" s="18" t="s">
        <v>226</v>
      </c>
    </row>
    <row r="69" spans="1:5" ht="12.75">
      <c r="A69" s="14" t="s">
        <v>203</v>
      </c>
      <c r="B69" s="4" t="s">
        <v>54</v>
      </c>
      <c r="C69" s="4" t="s">
        <v>110</v>
      </c>
      <c r="D69" s="4" t="s">
        <v>199</v>
      </c>
      <c r="E69" s="18" t="s">
        <v>227</v>
      </c>
    </row>
    <row r="70" spans="1:5" ht="12.75">
      <c r="A70" s="14" t="s">
        <v>167</v>
      </c>
      <c r="B70" s="4" t="s">
        <v>54</v>
      </c>
      <c r="C70" s="4" t="s">
        <v>224</v>
      </c>
      <c r="D70" s="4" t="s">
        <v>147</v>
      </c>
      <c r="E70" s="18" t="s">
        <v>228</v>
      </c>
    </row>
    <row r="72" spans="1:2" ht="14.25">
      <c r="A72" s="15"/>
      <c r="B72" s="16" t="s">
        <v>229</v>
      </c>
    </row>
    <row r="73" spans="1:5" ht="15">
      <c r="A73" s="17" t="s">
        <v>55</v>
      </c>
      <c r="B73" s="17" t="s">
        <v>56</v>
      </c>
      <c r="C73" s="17" t="s">
        <v>57</v>
      </c>
      <c r="D73" s="17" t="s">
        <v>58</v>
      </c>
      <c r="E73" s="17" t="s">
        <v>59</v>
      </c>
    </row>
    <row r="74" spans="1:5" ht="12.75">
      <c r="A74" s="14" t="s">
        <v>174</v>
      </c>
      <c r="B74" s="4" t="s">
        <v>229</v>
      </c>
      <c r="C74" s="4" t="s">
        <v>224</v>
      </c>
      <c r="D74" s="4" t="s">
        <v>154</v>
      </c>
      <c r="E74" s="18" t="s">
        <v>230</v>
      </c>
    </row>
    <row r="76" spans="1:2" ht="14.25">
      <c r="A76" s="15"/>
      <c r="B76" s="16" t="s">
        <v>231</v>
      </c>
    </row>
    <row r="77" spans="1:5" ht="15">
      <c r="A77" s="17" t="s">
        <v>55</v>
      </c>
      <c r="B77" s="17" t="s">
        <v>56</v>
      </c>
      <c r="C77" s="17" t="s">
        <v>57</v>
      </c>
      <c r="D77" s="17" t="s">
        <v>58</v>
      </c>
      <c r="E77" s="17" t="s">
        <v>59</v>
      </c>
    </row>
    <row r="78" spans="1:5" ht="12.75">
      <c r="A78" s="14" t="s">
        <v>178</v>
      </c>
      <c r="B78" s="4" t="s">
        <v>231</v>
      </c>
      <c r="C78" s="4" t="s">
        <v>224</v>
      </c>
      <c r="D78" s="4" t="s">
        <v>32</v>
      </c>
      <c r="E78" s="18" t="s">
        <v>232</v>
      </c>
    </row>
  </sheetData>
  <sheetProtection/>
  <mergeCells count="19">
    <mergeCell ref="A15:L15"/>
    <mergeCell ref="A18:L18"/>
    <mergeCell ref="A21:L21"/>
    <mergeCell ref="A27:L27"/>
    <mergeCell ref="A32:L32"/>
    <mergeCell ref="A11:L11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  <mergeCell ref="A5:L5"/>
    <mergeCell ref="A8:L8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5:M19"/>
  <sheetViews>
    <sheetView zoomScalePageLayoutView="0" workbookViewId="0" topLeftCell="A1">
      <selection activeCell="N25" sqref="N25"/>
    </sheetView>
  </sheetViews>
  <sheetFormatPr defaultColWidth="9.00390625" defaultRowHeight="12.75"/>
  <cols>
    <col min="1" max="1" width="26.00390625" style="4" bestFit="1" customWidth="1"/>
    <col min="2" max="2" width="26.25390625" style="4" bestFit="1" customWidth="1"/>
    <col min="3" max="3" width="9.75390625" style="4" bestFit="1" customWidth="1"/>
    <col min="4" max="4" width="9.25390625" style="4" bestFit="1" customWidth="1"/>
    <col min="5" max="5" width="22.75390625" style="4" bestFit="1" customWidth="1"/>
    <col min="6" max="6" width="17.25390625" style="4" bestFit="1" customWidth="1"/>
    <col min="7" max="9" width="2.125" style="3" bestFit="1" customWidth="1"/>
    <col min="10" max="10" width="4.875" style="3" bestFit="1" customWidth="1"/>
    <col min="11" max="11" width="7.875" style="4" bestFit="1" customWidth="1"/>
    <col min="12" max="12" width="6.625" style="3" bestFit="1" customWidth="1"/>
    <col min="13" max="13" width="15.75390625" style="4" bestFit="1" customWidth="1"/>
    <col min="14" max="16384" width="9.125" style="3" customWidth="1"/>
  </cols>
  <sheetData>
    <row r="1" s="2" customFormat="1" ht="28.5" customHeight="1"/>
    <row r="2" s="2" customFormat="1" ht="61.5" customHeight="1"/>
    <row r="3" s="1" customFormat="1" ht="12.75" customHeight="1"/>
    <row r="4" s="1" customFormat="1" ht="21" customHeight="1"/>
    <row r="5" spans="1:13" ht="12.75">
      <c r="A5" s="3"/>
      <c r="B5" s="3"/>
      <c r="C5" s="3"/>
      <c r="D5" s="3"/>
      <c r="E5" s="3"/>
      <c r="F5" s="3"/>
      <c r="K5" s="3"/>
      <c r="M5" s="3"/>
    </row>
    <row r="6" spans="1:13" ht="12.75">
      <c r="A6" s="3"/>
      <c r="B6" s="3"/>
      <c r="C6" s="3"/>
      <c r="D6" s="3"/>
      <c r="E6" s="3"/>
      <c r="F6" s="3"/>
      <c r="K6" s="3"/>
      <c r="M6" s="3"/>
    </row>
    <row r="7" spans="1:13" ht="12.75">
      <c r="A7" s="3"/>
      <c r="B7" s="3"/>
      <c r="C7" s="3"/>
      <c r="D7" s="3"/>
      <c r="E7" s="3"/>
      <c r="F7" s="3"/>
      <c r="K7" s="3"/>
      <c r="M7" s="3"/>
    </row>
    <row r="8" spans="1:13" ht="12.75">
      <c r="A8" s="3"/>
      <c r="B8" s="3"/>
      <c r="C8" s="3"/>
      <c r="D8" s="3"/>
      <c r="E8" s="3"/>
      <c r="F8" s="3"/>
      <c r="K8" s="3"/>
      <c r="M8" s="3"/>
    </row>
    <row r="9" spans="1:13" ht="12.75">
      <c r="A9" s="3"/>
      <c r="B9" s="3"/>
      <c r="C9" s="3"/>
      <c r="D9" s="3"/>
      <c r="E9" s="3"/>
      <c r="F9" s="3"/>
      <c r="K9" s="3"/>
      <c r="M9" s="3"/>
    </row>
    <row r="10" spans="1:13" ht="12.75">
      <c r="A10" s="3"/>
      <c r="B10" s="3"/>
      <c r="C10" s="3"/>
      <c r="D10" s="3"/>
      <c r="E10" s="3"/>
      <c r="F10" s="3"/>
      <c r="K10" s="3"/>
      <c r="M10" s="3"/>
    </row>
    <row r="11" spans="1:13" ht="12.75">
      <c r="A11" s="3"/>
      <c r="B11" s="3"/>
      <c r="C11" s="3"/>
      <c r="D11" s="3"/>
      <c r="E11" s="3"/>
      <c r="F11" s="3"/>
      <c r="K11" s="3"/>
      <c r="M11" s="3"/>
    </row>
    <row r="12" spans="1:13" ht="12.75">
      <c r="A12" s="3"/>
      <c r="B12" s="3"/>
      <c r="C12" s="3"/>
      <c r="D12" s="3"/>
      <c r="E12" s="3"/>
      <c r="F12" s="3"/>
      <c r="K12" s="3"/>
      <c r="M12" s="3"/>
    </row>
    <row r="13" spans="1:13" ht="12.75">
      <c r="A13" s="3"/>
      <c r="B13" s="3"/>
      <c r="C13" s="3"/>
      <c r="D13" s="3"/>
      <c r="E13" s="3"/>
      <c r="F13" s="3"/>
      <c r="K13" s="3"/>
      <c r="M13" s="3"/>
    </row>
    <row r="14" spans="1:13" ht="12.75">
      <c r="A14" s="3"/>
      <c r="B14" s="3"/>
      <c r="C14" s="3"/>
      <c r="D14" s="3"/>
      <c r="E14" s="3"/>
      <c r="F14" s="3"/>
      <c r="K14" s="3"/>
      <c r="M14" s="3"/>
    </row>
    <row r="15" spans="1:13" ht="12.75">
      <c r="A15" s="3"/>
      <c r="B15" s="3"/>
      <c r="C15" s="3"/>
      <c r="D15" s="3"/>
      <c r="E15" s="3"/>
      <c r="F15" s="3"/>
      <c r="K15" s="3"/>
      <c r="M15" s="3"/>
    </row>
    <row r="16" spans="1:13" ht="12.75">
      <c r="A16" s="3"/>
      <c r="B16" s="3"/>
      <c r="C16" s="3"/>
      <c r="D16" s="3"/>
      <c r="E16" s="3"/>
      <c r="F16" s="3"/>
      <c r="K16" s="3"/>
      <c r="M16" s="3"/>
    </row>
    <row r="17" spans="1:13" ht="12.75">
      <c r="A17" s="3"/>
      <c r="B17" s="3"/>
      <c r="C17" s="3"/>
      <c r="D17" s="3"/>
      <c r="E17" s="3"/>
      <c r="F17" s="3"/>
      <c r="K17" s="3"/>
      <c r="M17" s="3"/>
    </row>
    <row r="18" spans="1:13" ht="12.75">
      <c r="A18" s="3"/>
      <c r="B18" s="3"/>
      <c r="C18" s="3"/>
      <c r="D18" s="3"/>
      <c r="E18" s="3"/>
      <c r="F18" s="3"/>
      <c r="K18" s="3"/>
      <c r="M18" s="3"/>
    </row>
    <row r="19" spans="1:13" ht="12.75">
      <c r="A19" s="3"/>
      <c r="B19" s="3"/>
      <c r="C19" s="3"/>
      <c r="D19" s="3"/>
      <c r="E19" s="3"/>
      <c r="F19" s="3"/>
      <c r="K19" s="3"/>
      <c r="M19" s="3"/>
    </row>
  </sheetData>
  <sheetProtection/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M31"/>
  <sheetViews>
    <sheetView zoomScalePageLayoutView="0" workbookViewId="0" topLeftCell="A1">
      <selection activeCell="F19" sqref="D14:F19"/>
    </sheetView>
  </sheetViews>
  <sheetFormatPr defaultColWidth="9.00390625" defaultRowHeight="12.75"/>
  <cols>
    <col min="1" max="1" width="26.00390625" style="4" bestFit="1" customWidth="1"/>
    <col min="2" max="2" width="28.625" style="4" bestFit="1" customWidth="1"/>
    <col min="3" max="3" width="10.625" style="4" bestFit="1" customWidth="1"/>
    <col min="4" max="4" width="9.25390625" style="4" bestFit="1" customWidth="1"/>
    <col min="5" max="5" width="22.75390625" style="4" bestFit="1" customWidth="1"/>
    <col min="6" max="6" width="29.00390625" style="4" bestFit="1" customWidth="1"/>
    <col min="7" max="9" width="6.625" style="3" bestFit="1" customWidth="1"/>
    <col min="10" max="10" width="4.875" style="3" bestFit="1" customWidth="1"/>
    <col min="11" max="11" width="7.875" style="4" bestFit="1" customWidth="1"/>
    <col min="12" max="12" width="7.625" style="3" bestFit="1" customWidth="1"/>
    <col min="13" max="13" width="15.75390625" style="4" bestFit="1" customWidth="1"/>
    <col min="14" max="16384" width="9.125" style="3" customWidth="1"/>
  </cols>
  <sheetData>
    <row r="1" spans="1:13" s="2" customFormat="1" ht="28.5" customHeight="1">
      <c r="A1" s="54" t="s">
        <v>88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4"/>
    </row>
    <row r="2" spans="1:13" s="2" customFormat="1" ht="61.5" customHeight="1" thickBot="1">
      <c r="A2" s="45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s="1" customFormat="1" ht="12.75" customHeight="1">
      <c r="A3" s="48" t="s">
        <v>0</v>
      </c>
      <c r="B3" s="50" t="s">
        <v>10</v>
      </c>
      <c r="C3" s="50" t="s">
        <v>11</v>
      </c>
      <c r="D3" s="52" t="s">
        <v>14</v>
      </c>
      <c r="E3" s="52" t="s">
        <v>7</v>
      </c>
      <c r="F3" s="52" t="s">
        <v>12</v>
      </c>
      <c r="G3" s="52" t="s">
        <v>16</v>
      </c>
      <c r="H3" s="52"/>
      <c r="I3" s="52"/>
      <c r="J3" s="52"/>
      <c r="K3" s="52" t="s">
        <v>118</v>
      </c>
      <c r="L3" s="52" t="s">
        <v>6</v>
      </c>
      <c r="M3" s="40" t="s">
        <v>5</v>
      </c>
    </row>
    <row r="4" spans="1:13" s="1" customFormat="1" ht="21" customHeight="1" thickBot="1">
      <c r="A4" s="49"/>
      <c r="B4" s="51"/>
      <c r="C4" s="51"/>
      <c r="D4" s="51"/>
      <c r="E4" s="51"/>
      <c r="F4" s="51"/>
      <c r="G4" s="7">
        <v>1</v>
      </c>
      <c r="H4" s="7">
        <v>2</v>
      </c>
      <c r="I4" s="7">
        <v>3</v>
      </c>
      <c r="J4" s="7" t="s">
        <v>8</v>
      </c>
      <c r="K4" s="51"/>
      <c r="L4" s="51"/>
      <c r="M4" s="41"/>
    </row>
    <row r="5" spans="1:12" ht="15">
      <c r="A5" s="53" t="s">
        <v>89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</row>
    <row r="6" spans="1:13" ht="12.75">
      <c r="A6" s="8" t="s">
        <v>91</v>
      </c>
      <c r="B6" s="8" t="s">
        <v>92</v>
      </c>
      <c r="C6" s="8" t="s">
        <v>93</v>
      </c>
      <c r="D6" s="8" t="str">
        <f>"0,5589"</f>
        <v>0,5589</v>
      </c>
      <c r="E6" s="8" t="s">
        <v>23</v>
      </c>
      <c r="F6" s="8" t="s">
        <v>74</v>
      </c>
      <c r="G6" s="9" t="s">
        <v>94</v>
      </c>
      <c r="H6" s="10" t="s">
        <v>46</v>
      </c>
      <c r="I6" s="10" t="s">
        <v>46</v>
      </c>
      <c r="J6" s="10"/>
      <c r="K6" s="8" t="str">
        <f>"135,0"</f>
        <v>135,0</v>
      </c>
      <c r="L6" s="9" t="str">
        <f>"75,4515"</f>
        <v>75,4515</v>
      </c>
      <c r="M6" s="8" t="s">
        <v>83</v>
      </c>
    </row>
    <row r="8" spans="1:12" ht="15">
      <c r="A8" s="55" t="s">
        <v>95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</row>
    <row r="9" spans="1:13" ht="12.75">
      <c r="A9" s="8" t="s">
        <v>97</v>
      </c>
      <c r="B9" s="8" t="s">
        <v>98</v>
      </c>
      <c r="C9" s="8" t="s">
        <v>99</v>
      </c>
      <c r="D9" s="8" t="str">
        <f>"0,5385"</f>
        <v>0,5385</v>
      </c>
      <c r="E9" s="8" t="s">
        <v>23</v>
      </c>
      <c r="F9" s="8" t="s">
        <v>74</v>
      </c>
      <c r="G9" s="9" t="s">
        <v>100</v>
      </c>
      <c r="H9" s="9" t="s">
        <v>101</v>
      </c>
      <c r="I9" s="10"/>
      <c r="J9" s="10"/>
      <c r="K9" s="8" t="str">
        <f>"157,5"</f>
        <v>157,5</v>
      </c>
      <c r="L9" s="9" t="str">
        <f>"84,8138"</f>
        <v>84,8138</v>
      </c>
      <c r="M9" s="8" t="s">
        <v>102</v>
      </c>
    </row>
    <row r="11" spans="1:12" ht="15">
      <c r="A11" s="55" t="s">
        <v>103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</row>
    <row r="12" spans="1:13" ht="12.75">
      <c r="A12" s="8" t="s">
        <v>105</v>
      </c>
      <c r="B12" s="8" t="s">
        <v>106</v>
      </c>
      <c r="C12" s="8" t="s">
        <v>107</v>
      </c>
      <c r="D12" s="8" t="str">
        <f>"0,5243"</f>
        <v>0,5243</v>
      </c>
      <c r="E12" s="8" t="s">
        <v>23</v>
      </c>
      <c r="F12" s="8" t="s">
        <v>74</v>
      </c>
      <c r="G12" s="9" t="s">
        <v>108</v>
      </c>
      <c r="H12" s="9" t="s">
        <v>109</v>
      </c>
      <c r="I12" s="9" t="s">
        <v>100</v>
      </c>
      <c r="J12" s="10"/>
      <c r="K12" s="8" t="str">
        <f>"150,0"</f>
        <v>150,0</v>
      </c>
      <c r="L12" s="9" t="str">
        <f>"84,0715"</f>
        <v>84,0715</v>
      </c>
      <c r="M12" s="8" t="s">
        <v>83</v>
      </c>
    </row>
    <row r="14" ht="15">
      <c r="E14" s="11" t="s">
        <v>511</v>
      </c>
    </row>
    <row r="15" spans="5:6" ht="15">
      <c r="E15" s="11" t="s">
        <v>49</v>
      </c>
      <c r="F15" s="35" t="s">
        <v>508</v>
      </c>
    </row>
    <row r="16" ht="15">
      <c r="E16" s="11" t="s">
        <v>512</v>
      </c>
    </row>
    <row r="17" ht="15">
      <c r="E17" s="11" t="s">
        <v>517</v>
      </c>
    </row>
    <row r="18" ht="15">
      <c r="E18" s="11" t="s">
        <v>513</v>
      </c>
    </row>
    <row r="19" ht="15">
      <c r="E19" s="11"/>
    </row>
    <row r="20" ht="15">
      <c r="E20" s="11"/>
    </row>
    <row r="22" spans="1:2" ht="18">
      <c r="A22" s="12" t="s">
        <v>52</v>
      </c>
      <c r="B22" s="12"/>
    </row>
    <row r="23" spans="1:2" ht="15">
      <c r="A23" s="13" t="s">
        <v>63</v>
      </c>
      <c r="B23" s="13"/>
    </row>
    <row r="24" spans="1:2" ht="14.25">
      <c r="A24" s="15"/>
      <c r="B24" s="16" t="s">
        <v>54</v>
      </c>
    </row>
    <row r="25" spans="1:5" ht="15">
      <c r="A25" s="17" t="s">
        <v>55</v>
      </c>
      <c r="B25" s="17" t="s">
        <v>56</v>
      </c>
      <c r="C25" s="17" t="s">
        <v>57</v>
      </c>
      <c r="D25" s="17" t="s">
        <v>58</v>
      </c>
      <c r="E25" s="17" t="s">
        <v>59</v>
      </c>
    </row>
    <row r="26" spans="1:5" ht="12.75">
      <c r="A26" s="14" t="s">
        <v>96</v>
      </c>
      <c r="B26" s="4" t="s">
        <v>54</v>
      </c>
      <c r="C26" s="4" t="s">
        <v>110</v>
      </c>
      <c r="D26" s="4" t="s">
        <v>111</v>
      </c>
      <c r="E26" s="18" t="s">
        <v>112</v>
      </c>
    </row>
    <row r="27" spans="1:5" ht="12.75">
      <c r="A27" s="14" t="s">
        <v>90</v>
      </c>
      <c r="B27" s="4" t="s">
        <v>54</v>
      </c>
      <c r="C27" s="4" t="s">
        <v>113</v>
      </c>
      <c r="D27" s="4" t="s">
        <v>41</v>
      </c>
      <c r="E27" s="18" t="s">
        <v>114</v>
      </c>
    </row>
    <row r="29" spans="1:2" ht="14.25">
      <c r="A29" s="15"/>
      <c r="B29" s="16" t="s">
        <v>115</v>
      </c>
    </row>
    <row r="30" spans="1:5" ht="15">
      <c r="A30" s="17" t="s">
        <v>55</v>
      </c>
      <c r="B30" s="17" t="s">
        <v>56</v>
      </c>
      <c r="C30" s="17" t="s">
        <v>57</v>
      </c>
      <c r="D30" s="17" t="s">
        <v>58</v>
      </c>
      <c r="E30" s="17" t="s">
        <v>59</v>
      </c>
    </row>
    <row r="31" spans="1:5" ht="12.75">
      <c r="A31" s="14" t="s">
        <v>104</v>
      </c>
      <c r="B31" s="4" t="s">
        <v>115</v>
      </c>
      <c r="C31" s="4" t="s">
        <v>116</v>
      </c>
      <c r="D31" s="4" t="s">
        <v>46</v>
      </c>
      <c r="E31" s="18" t="s">
        <v>117</v>
      </c>
    </row>
  </sheetData>
  <sheetProtection/>
  <mergeCells count="14">
    <mergeCell ref="A11:L11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  <mergeCell ref="A5:L5"/>
    <mergeCell ref="A8:L8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U20"/>
  <sheetViews>
    <sheetView zoomScalePageLayoutView="0" workbookViewId="0" topLeftCell="A1">
      <selection activeCell="E14" sqref="E14"/>
    </sheetView>
  </sheetViews>
  <sheetFormatPr defaultColWidth="9.00390625" defaultRowHeight="12.75"/>
  <cols>
    <col min="1" max="1" width="26.00390625" style="4" bestFit="1" customWidth="1"/>
    <col min="2" max="2" width="28.625" style="4" bestFit="1" customWidth="1"/>
    <col min="3" max="3" width="10.625" style="4" bestFit="1" customWidth="1"/>
    <col min="4" max="4" width="9.25390625" style="4" bestFit="1" customWidth="1"/>
    <col min="5" max="5" width="22.75390625" style="4" bestFit="1" customWidth="1"/>
    <col min="6" max="6" width="29.00390625" style="4" bestFit="1" customWidth="1"/>
    <col min="7" max="9" width="6.625" style="3" bestFit="1" customWidth="1"/>
    <col min="10" max="10" width="4.875" style="3" bestFit="1" customWidth="1"/>
    <col min="11" max="13" width="6.625" style="3" bestFit="1" customWidth="1"/>
    <col min="14" max="14" width="4.875" style="3" bestFit="1" customWidth="1"/>
    <col min="15" max="17" width="6.625" style="3" bestFit="1" customWidth="1"/>
    <col min="18" max="18" width="4.875" style="3" bestFit="1" customWidth="1"/>
    <col min="19" max="19" width="7.875" style="4" bestFit="1" customWidth="1"/>
    <col min="20" max="20" width="8.625" style="3" bestFit="1" customWidth="1"/>
    <col min="21" max="21" width="15.75390625" style="4" bestFit="1" customWidth="1"/>
    <col min="22" max="16384" width="9.125" style="3" customWidth="1"/>
  </cols>
  <sheetData>
    <row r="1" spans="1:21" s="2" customFormat="1" ht="28.5" customHeight="1">
      <c r="A1" s="54" t="s">
        <v>68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4"/>
    </row>
    <row r="2" spans="1:21" s="2" customFormat="1" ht="61.5" customHeight="1" thickBot="1">
      <c r="A2" s="45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7"/>
    </row>
    <row r="3" spans="1:21" s="1" customFormat="1" ht="12.75" customHeight="1">
      <c r="A3" s="48" t="s">
        <v>0</v>
      </c>
      <c r="B3" s="50" t="s">
        <v>10</v>
      </c>
      <c r="C3" s="50" t="s">
        <v>11</v>
      </c>
      <c r="D3" s="52" t="s">
        <v>14</v>
      </c>
      <c r="E3" s="52" t="s">
        <v>7</v>
      </c>
      <c r="F3" s="52" t="s">
        <v>12</v>
      </c>
      <c r="G3" s="52" t="s">
        <v>15</v>
      </c>
      <c r="H3" s="52"/>
      <c r="I3" s="52"/>
      <c r="J3" s="52"/>
      <c r="K3" s="52" t="s">
        <v>16</v>
      </c>
      <c r="L3" s="52"/>
      <c r="M3" s="52"/>
      <c r="N3" s="52"/>
      <c r="O3" s="52" t="s">
        <v>17</v>
      </c>
      <c r="P3" s="52"/>
      <c r="Q3" s="52"/>
      <c r="R3" s="52"/>
      <c r="S3" s="52" t="s">
        <v>4</v>
      </c>
      <c r="T3" s="52" t="s">
        <v>6</v>
      </c>
      <c r="U3" s="40" t="s">
        <v>5</v>
      </c>
    </row>
    <row r="4" spans="1:21" s="1" customFormat="1" ht="21" customHeight="1" thickBot="1">
      <c r="A4" s="49"/>
      <c r="B4" s="51"/>
      <c r="C4" s="51"/>
      <c r="D4" s="51"/>
      <c r="E4" s="51"/>
      <c r="F4" s="51"/>
      <c r="G4" s="7">
        <v>1</v>
      </c>
      <c r="H4" s="7">
        <v>2</v>
      </c>
      <c r="I4" s="7">
        <v>3</v>
      </c>
      <c r="J4" s="7" t="s">
        <v>8</v>
      </c>
      <c r="K4" s="7">
        <v>1</v>
      </c>
      <c r="L4" s="7">
        <v>2</v>
      </c>
      <c r="M4" s="7">
        <v>3</v>
      </c>
      <c r="N4" s="7" t="s">
        <v>8</v>
      </c>
      <c r="O4" s="7">
        <v>1</v>
      </c>
      <c r="P4" s="7">
        <v>2</v>
      </c>
      <c r="Q4" s="7">
        <v>3</v>
      </c>
      <c r="R4" s="7" t="s">
        <v>8</v>
      </c>
      <c r="S4" s="51"/>
      <c r="T4" s="51"/>
      <c r="U4" s="41"/>
    </row>
    <row r="5" spans="1:20" ht="15">
      <c r="A5" s="53" t="s">
        <v>69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</row>
    <row r="6" spans="1:21" ht="12.75">
      <c r="A6" s="8" t="s">
        <v>71</v>
      </c>
      <c r="B6" s="8" t="s">
        <v>72</v>
      </c>
      <c r="C6" s="8" t="s">
        <v>73</v>
      </c>
      <c r="D6" s="8" t="str">
        <f>"0,6329"</f>
        <v>0,6329</v>
      </c>
      <c r="E6" s="8" t="s">
        <v>23</v>
      </c>
      <c r="F6" s="8" t="s">
        <v>74</v>
      </c>
      <c r="G6" s="9" t="s">
        <v>75</v>
      </c>
      <c r="H6" s="9" t="s">
        <v>76</v>
      </c>
      <c r="I6" s="9" t="s">
        <v>77</v>
      </c>
      <c r="J6" s="10"/>
      <c r="K6" s="9" t="s">
        <v>78</v>
      </c>
      <c r="L6" s="9" t="s">
        <v>79</v>
      </c>
      <c r="M6" s="9" t="s">
        <v>31</v>
      </c>
      <c r="N6" s="10"/>
      <c r="O6" s="9" t="s">
        <v>80</v>
      </c>
      <c r="P6" s="9" t="s">
        <v>81</v>
      </c>
      <c r="Q6" s="9" t="s">
        <v>82</v>
      </c>
      <c r="R6" s="10"/>
      <c r="S6" s="8" t="str">
        <f>"550.00n"</f>
        <v>550.00n</v>
      </c>
      <c r="T6" s="9" t="str">
        <f>"462,9663"</f>
        <v>462,9663</v>
      </c>
      <c r="U6" s="8" t="s">
        <v>83</v>
      </c>
    </row>
    <row r="8" ht="15">
      <c r="E8" s="11"/>
    </row>
    <row r="9" ht="15">
      <c r="E9" s="11" t="s">
        <v>511</v>
      </c>
    </row>
    <row r="10" spans="5:6" ht="15">
      <c r="E10" s="11" t="s">
        <v>49</v>
      </c>
      <c r="F10" s="35" t="s">
        <v>508</v>
      </c>
    </row>
    <row r="11" ht="15">
      <c r="E11" s="11" t="s">
        <v>518</v>
      </c>
    </row>
    <row r="12" ht="15">
      <c r="E12" s="11" t="s">
        <v>517</v>
      </c>
    </row>
    <row r="13" ht="15">
      <c r="E13" s="11" t="s">
        <v>513</v>
      </c>
    </row>
    <row r="14" ht="15">
      <c r="E14" s="11"/>
    </row>
    <row r="16" spans="1:2" ht="18">
      <c r="A16" s="12" t="s">
        <v>52</v>
      </c>
      <c r="B16" s="12"/>
    </row>
    <row r="17" spans="1:2" ht="15">
      <c r="A17" s="13" t="s">
        <v>63</v>
      </c>
      <c r="B17" s="13"/>
    </row>
    <row r="18" spans="1:2" ht="14.25">
      <c r="A18" s="15"/>
      <c r="B18" s="16" t="s">
        <v>84</v>
      </c>
    </row>
    <row r="19" spans="1:5" ht="15">
      <c r="A19" s="17" t="s">
        <v>55</v>
      </c>
      <c r="B19" s="17" t="s">
        <v>56</v>
      </c>
      <c r="C19" s="17" t="s">
        <v>57</v>
      </c>
      <c r="D19" s="17" t="s">
        <v>58</v>
      </c>
      <c r="E19" s="17" t="s">
        <v>59</v>
      </c>
    </row>
    <row r="20" spans="1:5" ht="12.75">
      <c r="A20" s="14" t="s">
        <v>70</v>
      </c>
      <c r="B20" s="4" t="s">
        <v>84</v>
      </c>
      <c r="C20" s="4" t="s">
        <v>85</v>
      </c>
      <c r="D20" s="4" t="s">
        <v>86</v>
      </c>
      <c r="E20" s="18" t="s">
        <v>87</v>
      </c>
    </row>
  </sheetData>
  <sheetProtection/>
  <mergeCells count="14">
    <mergeCell ref="S3:S4"/>
    <mergeCell ref="T3:T4"/>
    <mergeCell ref="U3:U4"/>
    <mergeCell ref="A5:T5"/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</mergeCells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zoomScalePageLayoutView="0" workbookViewId="0" topLeftCell="A1">
      <selection activeCell="D3" sqref="D3:D4"/>
    </sheetView>
  </sheetViews>
  <sheetFormatPr defaultColWidth="9.00390625" defaultRowHeight="12.75"/>
  <cols>
    <col min="1" max="1" width="26.00390625" style="4" bestFit="1" customWidth="1"/>
    <col min="2" max="2" width="27.75390625" style="4" bestFit="1" customWidth="1"/>
    <col min="3" max="3" width="10.625" style="4" bestFit="1" customWidth="1"/>
    <col min="4" max="4" width="9.25390625" style="4" bestFit="1" customWidth="1"/>
    <col min="5" max="5" width="22.75390625" style="4" bestFit="1" customWidth="1"/>
    <col min="6" max="6" width="30.00390625" style="4" bestFit="1" customWidth="1"/>
    <col min="7" max="9" width="5.625" style="3" bestFit="1" customWidth="1"/>
    <col min="10" max="10" width="4.875" style="3" bestFit="1" customWidth="1"/>
    <col min="11" max="13" width="5.625" style="3" bestFit="1" customWidth="1"/>
    <col min="14" max="14" width="4.875" style="3" bestFit="1" customWidth="1"/>
    <col min="15" max="16" width="6.625" style="3" bestFit="1" customWidth="1"/>
    <col min="17" max="17" width="5.625" style="3" bestFit="1" customWidth="1"/>
    <col min="18" max="18" width="4.875" style="3" bestFit="1" customWidth="1"/>
    <col min="19" max="19" width="7.875" style="4" bestFit="1" customWidth="1"/>
    <col min="20" max="20" width="8.625" style="3" bestFit="1" customWidth="1"/>
    <col min="21" max="21" width="28.75390625" style="4" bestFit="1" customWidth="1"/>
    <col min="22" max="16384" width="9.125" style="3" customWidth="1"/>
  </cols>
  <sheetData>
    <row r="1" spans="1:21" s="2" customFormat="1" ht="28.5" customHeight="1">
      <c r="A1" s="54" t="s">
        <v>13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4"/>
    </row>
    <row r="2" spans="1:21" s="2" customFormat="1" ht="61.5" customHeight="1" thickBot="1">
      <c r="A2" s="45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7"/>
    </row>
    <row r="3" spans="1:21" s="1" customFormat="1" ht="12.75" customHeight="1">
      <c r="A3" s="48" t="s">
        <v>0</v>
      </c>
      <c r="B3" s="50" t="s">
        <v>10</v>
      </c>
      <c r="C3" s="50" t="s">
        <v>11</v>
      </c>
      <c r="D3" s="52" t="s">
        <v>14</v>
      </c>
      <c r="E3" s="52" t="s">
        <v>7</v>
      </c>
      <c r="F3" s="52" t="s">
        <v>12</v>
      </c>
      <c r="G3" s="52" t="s">
        <v>15</v>
      </c>
      <c r="H3" s="52"/>
      <c r="I3" s="52"/>
      <c r="J3" s="52"/>
      <c r="K3" s="52" t="s">
        <v>16</v>
      </c>
      <c r="L3" s="52"/>
      <c r="M3" s="52"/>
      <c r="N3" s="52"/>
      <c r="O3" s="52" t="s">
        <v>17</v>
      </c>
      <c r="P3" s="52"/>
      <c r="Q3" s="52"/>
      <c r="R3" s="52"/>
      <c r="S3" s="52" t="s">
        <v>4</v>
      </c>
      <c r="T3" s="52" t="s">
        <v>6</v>
      </c>
      <c r="U3" s="40" t="s">
        <v>5</v>
      </c>
    </row>
    <row r="4" spans="1:21" s="1" customFormat="1" ht="21" customHeight="1" thickBot="1">
      <c r="A4" s="49"/>
      <c r="B4" s="51"/>
      <c r="C4" s="51"/>
      <c r="D4" s="51"/>
      <c r="E4" s="51"/>
      <c r="F4" s="51"/>
      <c r="G4" s="7">
        <v>1</v>
      </c>
      <c r="H4" s="7">
        <v>2</v>
      </c>
      <c r="I4" s="7">
        <v>3</v>
      </c>
      <c r="J4" s="7" t="s">
        <v>8</v>
      </c>
      <c r="K4" s="7">
        <v>1</v>
      </c>
      <c r="L4" s="7">
        <v>2</v>
      </c>
      <c r="M4" s="7">
        <v>3</v>
      </c>
      <c r="N4" s="7" t="s">
        <v>8</v>
      </c>
      <c r="O4" s="7">
        <v>1</v>
      </c>
      <c r="P4" s="7">
        <v>2</v>
      </c>
      <c r="Q4" s="7">
        <v>3</v>
      </c>
      <c r="R4" s="7" t="s">
        <v>8</v>
      </c>
      <c r="S4" s="51"/>
      <c r="T4" s="51"/>
      <c r="U4" s="41"/>
    </row>
    <row r="5" spans="1:20" ht="15">
      <c r="A5" s="53" t="s">
        <v>18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</row>
    <row r="6" spans="1:21" ht="12.75">
      <c r="A6" s="8" t="s">
        <v>20</v>
      </c>
      <c r="B6" s="8" t="s">
        <v>21</v>
      </c>
      <c r="C6" s="8" t="s">
        <v>22</v>
      </c>
      <c r="D6" s="8" t="str">
        <f>"0,9147"</f>
        <v>0,9147</v>
      </c>
      <c r="E6" s="8" t="s">
        <v>23</v>
      </c>
      <c r="F6" s="8" t="s">
        <v>24</v>
      </c>
      <c r="G6" s="9" t="s">
        <v>25</v>
      </c>
      <c r="H6" s="9" t="s">
        <v>26</v>
      </c>
      <c r="I6" s="9" t="s">
        <v>27</v>
      </c>
      <c r="J6" s="10"/>
      <c r="K6" s="9" t="s">
        <v>28</v>
      </c>
      <c r="L6" s="10" t="s">
        <v>29</v>
      </c>
      <c r="M6" s="10" t="s">
        <v>29</v>
      </c>
      <c r="N6" s="10"/>
      <c r="O6" s="9" t="s">
        <v>30</v>
      </c>
      <c r="P6" s="9" t="s">
        <v>31</v>
      </c>
      <c r="Q6" s="10" t="s">
        <v>32</v>
      </c>
      <c r="R6" s="10"/>
      <c r="S6" s="8" t="str">
        <f>"265.00n"</f>
        <v>265.00n</v>
      </c>
      <c r="T6" s="9" t="str">
        <f>"242,3823"</f>
        <v>242,3823</v>
      </c>
      <c r="U6" s="8" t="s">
        <v>33</v>
      </c>
    </row>
    <row r="8" spans="1:20" ht="15">
      <c r="A8" s="55" t="s">
        <v>34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</row>
    <row r="9" spans="1:21" ht="12.75">
      <c r="A9" s="8" t="s">
        <v>36</v>
      </c>
      <c r="B9" s="8" t="s">
        <v>37</v>
      </c>
      <c r="C9" s="8" t="s">
        <v>38</v>
      </c>
      <c r="D9" s="8" t="str">
        <f>"0,6645"</f>
        <v>0,6645</v>
      </c>
      <c r="E9" s="8" t="s">
        <v>39</v>
      </c>
      <c r="F9" s="8" t="s">
        <v>40</v>
      </c>
      <c r="G9" s="9" t="s">
        <v>32</v>
      </c>
      <c r="H9" s="9" t="s">
        <v>41</v>
      </c>
      <c r="I9" s="9" t="s">
        <v>42</v>
      </c>
      <c r="J9" s="10"/>
      <c r="K9" s="9" t="s">
        <v>43</v>
      </c>
      <c r="L9" s="10" t="s">
        <v>44</v>
      </c>
      <c r="M9" s="9" t="s">
        <v>44</v>
      </c>
      <c r="N9" s="10"/>
      <c r="O9" s="9" t="s">
        <v>32</v>
      </c>
      <c r="P9" s="9" t="s">
        <v>45</v>
      </c>
      <c r="Q9" s="9" t="s">
        <v>46</v>
      </c>
      <c r="R9" s="10"/>
      <c r="S9" s="8" t="str">
        <f>"395,0"</f>
        <v>395,0</v>
      </c>
      <c r="T9" s="9" t="str">
        <f>"278,2261"</f>
        <v>278,2261</v>
      </c>
      <c r="U9" s="8" t="s">
        <v>47</v>
      </c>
    </row>
    <row r="11" spans="6:7" ht="15">
      <c r="F11" s="11" t="s">
        <v>511</v>
      </c>
      <c r="G11" s="4"/>
    </row>
    <row r="12" spans="6:7" ht="15">
      <c r="F12" s="11" t="s">
        <v>519</v>
      </c>
      <c r="G12" s="35"/>
    </row>
    <row r="13" spans="6:7" ht="15">
      <c r="F13" s="11" t="s">
        <v>512</v>
      </c>
      <c r="G13" s="4"/>
    </row>
    <row r="14" spans="6:7" ht="15">
      <c r="F14" s="11" t="s">
        <v>517</v>
      </c>
      <c r="G14" s="4"/>
    </row>
    <row r="15" spans="6:7" ht="15">
      <c r="F15" s="11" t="s">
        <v>513</v>
      </c>
      <c r="G15" s="4"/>
    </row>
    <row r="16" spans="6:7" ht="15">
      <c r="F16" s="11"/>
      <c r="G16" s="4"/>
    </row>
    <row r="17" ht="15">
      <c r="E17" s="11"/>
    </row>
    <row r="19" spans="1:2" ht="18">
      <c r="A19" s="12" t="s">
        <v>52</v>
      </c>
      <c r="B19" s="12"/>
    </row>
    <row r="20" spans="1:2" ht="15">
      <c r="A20" s="13" t="s">
        <v>53</v>
      </c>
      <c r="B20" s="13"/>
    </row>
    <row r="21" spans="1:2" ht="14.25">
      <c r="A21" s="15"/>
      <c r="B21" s="16" t="s">
        <v>54</v>
      </c>
    </row>
    <row r="22" spans="1:5" ht="15">
      <c r="A22" s="17" t="s">
        <v>55</v>
      </c>
      <c r="B22" s="17" t="s">
        <v>56</v>
      </c>
      <c r="C22" s="17" t="s">
        <v>57</v>
      </c>
      <c r="D22" s="17" t="s">
        <v>58</v>
      </c>
      <c r="E22" s="17" t="s">
        <v>59</v>
      </c>
    </row>
    <row r="23" spans="1:5" ht="12.75">
      <c r="A23" s="14" t="s">
        <v>19</v>
      </c>
      <c r="B23" s="4" t="s">
        <v>54</v>
      </c>
      <c r="C23" s="4" t="s">
        <v>60</v>
      </c>
      <c r="D23" s="4" t="s">
        <v>61</v>
      </c>
      <c r="E23" s="18" t="s">
        <v>62</v>
      </c>
    </row>
    <row r="26" spans="1:2" ht="15">
      <c r="A26" s="13" t="s">
        <v>63</v>
      </c>
      <c r="B26" s="13"/>
    </row>
    <row r="27" spans="1:2" ht="14.25">
      <c r="A27" s="15"/>
      <c r="B27" s="16" t="s">
        <v>64</v>
      </c>
    </row>
    <row r="28" spans="1:5" ht="15">
      <c r="A28" s="17" t="s">
        <v>55</v>
      </c>
      <c r="B28" s="17" t="s">
        <v>56</v>
      </c>
      <c r="C28" s="17" t="s">
        <v>57</v>
      </c>
      <c r="D28" s="17" t="s">
        <v>58</v>
      </c>
      <c r="E28" s="17" t="s">
        <v>59</v>
      </c>
    </row>
    <row r="29" spans="1:5" ht="12.75">
      <c r="A29" s="14" t="s">
        <v>35</v>
      </c>
      <c r="B29" s="4" t="s">
        <v>64</v>
      </c>
      <c r="C29" s="4" t="s">
        <v>65</v>
      </c>
      <c r="D29" s="4" t="s">
        <v>66</v>
      </c>
      <c r="E29" s="18" t="s">
        <v>67</v>
      </c>
    </row>
  </sheetData>
  <sheetProtection/>
  <mergeCells count="15">
    <mergeCell ref="A5:T5"/>
    <mergeCell ref="A8:T8"/>
    <mergeCell ref="D3:D4"/>
    <mergeCell ref="S3:S4"/>
    <mergeCell ref="T3:T4"/>
    <mergeCell ref="A1:U2"/>
    <mergeCell ref="G3:J3"/>
    <mergeCell ref="K3:N3"/>
    <mergeCell ref="O3:R3"/>
    <mergeCell ref="A3:A4"/>
    <mergeCell ref="B3:B4"/>
    <mergeCell ref="C3:C4"/>
    <mergeCell ref="U3:U4"/>
    <mergeCell ref="F3:F4"/>
    <mergeCell ref="E3:E4"/>
  </mergeCells>
  <printOptions/>
  <pageMargins left="0.1968503937007874" right="0.4724409448818898" top="0.4330708661417323" bottom="0.4724409448818898" header="0.5118110236220472" footer="0.5118110236220472"/>
  <pageSetup fitToHeight="100" fitToWidth="1" horizontalDpi="300" verticalDpi="300" orientation="landscape" scale="58" r:id="rId2"/>
  <headerFooter alignWithMargins="0">
    <oddFooter>&amp;L&amp;G&amp;R&amp;D&amp;T&amp;P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K19"/>
  <sheetViews>
    <sheetView zoomScalePageLayoutView="0" workbookViewId="0" topLeftCell="A1">
      <selection activeCell="C19" sqref="A1:K19"/>
    </sheetView>
  </sheetViews>
  <sheetFormatPr defaultColWidth="9.00390625" defaultRowHeight="12.75"/>
  <cols>
    <col min="1" max="1" width="26.00390625" style="4" bestFit="1" customWidth="1"/>
    <col min="2" max="2" width="26.25390625" style="4" bestFit="1" customWidth="1"/>
    <col min="3" max="3" width="9.75390625" style="4" bestFit="1" customWidth="1"/>
    <col min="4" max="4" width="6.625" style="4" bestFit="1" customWidth="1"/>
    <col min="5" max="5" width="22.75390625" style="4" bestFit="1" customWidth="1"/>
    <col min="6" max="6" width="17.25390625" style="4" bestFit="1" customWidth="1"/>
    <col min="7" max="7" width="2.125" style="3" bestFit="1" customWidth="1"/>
    <col min="8" max="8" width="2.125" style="30" bestFit="1" customWidth="1"/>
    <col min="9" max="9" width="7.875" style="4" bestFit="1" customWidth="1"/>
    <col min="10" max="10" width="6.375" style="3" bestFit="1" customWidth="1"/>
    <col min="11" max="11" width="8.875" style="4" bestFit="1" customWidth="1"/>
    <col min="12" max="16384" width="9.125" style="3" customWidth="1"/>
  </cols>
  <sheetData>
    <row r="1" s="2" customFormat="1" ht="28.5" customHeight="1"/>
    <row r="2" s="2" customFormat="1" ht="61.5" customHeight="1"/>
    <row r="3" s="1" customFormat="1" ht="12.75" customHeight="1"/>
    <row r="4" s="1" customFormat="1" ht="21" customHeight="1"/>
    <row r="5" spans="1:11" ht="12.75">
      <c r="A5" s="3"/>
      <c r="B5" s="3"/>
      <c r="C5" s="3"/>
      <c r="D5" s="3"/>
      <c r="E5" s="3"/>
      <c r="F5" s="3"/>
      <c r="H5" s="3"/>
      <c r="I5" s="3"/>
      <c r="K5" s="3"/>
    </row>
    <row r="6" spans="1:11" ht="12.75">
      <c r="A6" s="3"/>
      <c r="B6" s="3"/>
      <c r="C6" s="3"/>
      <c r="D6" s="3"/>
      <c r="E6" s="3"/>
      <c r="F6" s="3"/>
      <c r="H6" s="3"/>
      <c r="I6" s="3"/>
      <c r="K6" s="3"/>
    </row>
    <row r="7" spans="1:11" ht="12.75">
      <c r="A7" s="3"/>
      <c r="B7" s="3"/>
      <c r="C7" s="3"/>
      <c r="D7" s="3"/>
      <c r="E7" s="3"/>
      <c r="F7" s="3"/>
      <c r="H7" s="3"/>
      <c r="I7" s="3"/>
      <c r="K7" s="3"/>
    </row>
    <row r="8" spans="1:11" ht="12.75">
      <c r="A8" s="3"/>
      <c r="B8" s="3"/>
      <c r="C8" s="3"/>
      <c r="D8" s="3"/>
      <c r="E8" s="3"/>
      <c r="F8" s="3"/>
      <c r="H8" s="3"/>
      <c r="I8" s="3"/>
      <c r="K8" s="3"/>
    </row>
    <row r="9" spans="1:11" ht="12.75">
      <c r="A9" s="3"/>
      <c r="B9" s="3"/>
      <c r="C9" s="3"/>
      <c r="D9" s="3"/>
      <c r="E9" s="3"/>
      <c r="F9" s="3"/>
      <c r="H9" s="3"/>
      <c r="I9" s="3"/>
      <c r="K9" s="3"/>
    </row>
    <row r="10" spans="1:11" ht="12.75">
      <c r="A10" s="3"/>
      <c r="B10" s="3"/>
      <c r="C10" s="3"/>
      <c r="D10" s="3"/>
      <c r="E10" s="3"/>
      <c r="F10" s="3"/>
      <c r="H10" s="3"/>
      <c r="I10" s="3"/>
      <c r="K10" s="3"/>
    </row>
    <row r="11" spans="1:11" ht="12.75">
      <c r="A11" s="3"/>
      <c r="B11" s="3"/>
      <c r="C11" s="3"/>
      <c r="D11" s="3"/>
      <c r="E11" s="3"/>
      <c r="F11" s="3"/>
      <c r="H11" s="3"/>
      <c r="I11" s="3"/>
      <c r="K11" s="3"/>
    </row>
    <row r="12" spans="1:11" ht="12.75">
      <c r="A12" s="3"/>
      <c r="B12" s="3"/>
      <c r="C12" s="3"/>
      <c r="D12" s="3"/>
      <c r="E12" s="3"/>
      <c r="F12" s="3"/>
      <c r="H12" s="3"/>
      <c r="I12" s="3"/>
      <c r="K12" s="3"/>
    </row>
    <row r="13" spans="1:11" ht="12.75">
      <c r="A13" s="3"/>
      <c r="B13" s="3"/>
      <c r="C13" s="3"/>
      <c r="D13" s="3"/>
      <c r="E13" s="3"/>
      <c r="F13" s="3"/>
      <c r="H13" s="3"/>
      <c r="I13" s="3"/>
      <c r="K13" s="3"/>
    </row>
    <row r="14" spans="1:11" ht="12.75">
      <c r="A14" s="3"/>
      <c r="B14" s="3"/>
      <c r="C14" s="3"/>
      <c r="D14" s="3"/>
      <c r="E14" s="3"/>
      <c r="F14" s="3"/>
      <c r="H14" s="3"/>
      <c r="I14" s="3"/>
      <c r="K14" s="3"/>
    </row>
    <row r="15" spans="1:11" ht="12.75">
      <c r="A15" s="3"/>
      <c r="B15" s="3"/>
      <c r="C15" s="3"/>
      <c r="D15" s="3"/>
      <c r="E15" s="3"/>
      <c r="F15" s="3"/>
      <c r="H15" s="3"/>
      <c r="I15" s="3"/>
      <c r="K15" s="3"/>
    </row>
    <row r="16" spans="1:11" ht="12.75">
      <c r="A16" s="3"/>
      <c r="B16" s="3"/>
      <c r="C16" s="3"/>
      <c r="D16" s="3"/>
      <c r="E16" s="3"/>
      <c r="F16" s="3"/>
      <c r="H16" s="3"/>
      <c r="I16" s="3"/>
      <c r="K16" s="3"/>
    </row>
    <row r="17" spans="1:11" ht="12.75">
      <c r="A17" s="3"/>
      <c r="B17" s="3"/>
      <c r="C17" s="3"/>
      <c r="D17" s="3"/>
      <c r="E17" s="3"/>
      <c r="F17" s="3"/>
      <c r="H17" s="3"/>
      <c r="I17" s="3"/>
      <c r="K17" s="3"/>
    </row>
    <row r="18" spans="1:11" ht="12.75">
      <c r="A18" s="3"/>
      <c r="B18" s="3"/>
      <c r="C18" s="3"/>
      <c r="D18" s="3"/>
      <c r="E18" s="3"/>
      <c r="F18" s="3"/>
      <c r="H18" s="3"/>
      <c r="I18" s="3"/>
      <c r="K18" s="3"/>
    </row>
    <row r="19" spans="1:11" ht="12.75">
      <c r="A19" s="3"/>
      <c r="B19" s="3"/>
      <c r="C19" s="3"/>
      <c r="D19" s="3"/>
      <c r="E19" s="3"/>
      <c r="F19" s="3"/>
      <c r="H19" s="3"/>
      <c r="I19" s="3"/>
      <c r="K19" s="3"/>
    </row>
  </sheetData>
  <sheetProtection/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U17"/>
  <sheetViews>
    <sheetView zoomScalePageLayoutView="0" workbookViewId="0" topLeftCell="A1">
      <selection activeCell="A1" sqref="A1:U2"/>
    </sheetView>
  </sheetViews>
  <sheetFormatPr defaultColWidth="9.00390625" defaultRowHeight="12.75"/>
  <cols>
    <col min="1" max="1" width="19.25390625" style="0" customWidth="1"/>
    <col min="2" max="2" width="19.75390625" style="0" customWidth="1"/>
    <col min="3" max="3" width="17.875" style="0" customWidth="1"/>
    <col min="4" max="4" width="7.25390625" style="0" customWidth="1"/>
    <col min="5" max="5" width="18.375" style="0" customWidth="1"/>
    <col min="6" max="6" width="18.125" style="0" customWidth="1"/>
  </cols>
  <sheetData>
    <row r="1" spans="1:21" ht="12.75">
      <c r="A1" s="54" t="s">
        <v>548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4"/>
    </row>
    <row r="2" spans="1:21" ht="13.5" thickBot="1">
      <c r="A2" s="45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7"/>
    </row>
    <row r="3" spans="1:17" ht="15">
      <c r="A3" s="48" t="s">
        <v>0</v>
      </c>
      <c r="B3" s="50" t="s">
        <v>10</v>
      </c>
      <c r="C3" s="50" t="s">
        <v>11</v>
      </c>
      <c r="D3" s="52" t="s">
        <v>14</v>
      </c>
      <c r="E3" s="52" t="s">
        <v>7</v>
      </c>
      <c r="F3" s="52" t="s">
        <v>12</v>
      </c>
      <c r="G3" s="52" t="s">
        <v>16</v>
      </c>
      <c r="H3" s="52"/>
      <c r="I3" s="52"/>
      <c r="J3" s="52"/>
      <c r="K3" s="52" t="s">
        <v>426</v>
      </c>
      <c r="L3" s="52"/>
      <c r="M3" s="52"/>
      <c r="N3" s="52"/>
      <c r="O3" s="52" t="s">
        <v>4</v>
      </c>
      <c r="P3" s="52"/>
      <c r="Q3" s="40" t="s">
        <v>5</v>
      </c>
    </row>
    <row r="4" spans="1:17" ht="15.75" thickBot="1">
      <c r="A4" s="49"/>
      <c r="B4" s="51"/>
      <c r="C4" s="51"/>
      <c r="D4" s="51"/>
      <c r="E4" s="51"/>
      <c r="F4" s="51"/>
      <c r="G4" s="7">
        <v>1</v>
      </c>
      <c r="H4" s="7">
        <v>2</v>
      </c>
      <c r="I4" s="7">
        <v>3</v>
      </c>
      <c r="J4" s="7" t="s">
        <v>8</v>
      </c>
      <c r="K4" s="7">
        <v>1</v>
      </c>
      <c r="L4" s="7">
        <v>2</v>
      </c>
      <c r="M4" s="7">
        <v>3</v>
      </c>
      <c r="N4" s="7" t="s">
        <v>8</v>
      </c>
      <c r="O4" s="51"/>
      <c r="P4" s="51"/>
      <c r="Q4" s="41"/>
    </row>
    <row r="5" spans="1:21" ht="15">
      <c r="A5" s="56" t="s">
        <v>162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4"/>
    </row>
    <row r="6" spans="1:21" ht="15">
      <c r="A6" s="3" t="s">
        <v>530</v>
      </c>
      <c r="B6" s="3" t="s">
        <v>542</v>
      </c>
      <c r="C6" s="3" t="s">
        <v>531</v>
      </c>
      <c r="D6" s="36"/>
      <c r="E6" s="37" t="s">
        <v>544</v>
      </c>
      <c r="F6" s="37" t="s">
        <v>536</v>
      </c>
      <c r="G6" s="3" t="s">
        <v>545</v>
      </c>
      <c r="H6" s="3" t="s">
        <v>546</v>
      </c>
      <c r="I6" s="37" t="s">
        <v>547</v>
      </c>
      <c r="J6" s="36"/>
      <c r="K6" s="37" t="s">
        <v>224</v>
      </c>
      <c r="L6" s="37" t="s">
        <v>532</v>
      </c>
      <c r="M6" s="36"/>
      <c r="N6" s="36"/>
      <c r="O6" s="37" t="s">
        <v>551</v>
      </c>
      <c r="P6" s="36"/>
      <c r="Q6" s="36" t="s">
        <v>550</v>
      </c>
      <c r="R6" s="36"/>
      <c r="S6" s="36"/>
      <c r="T6" s="36"/>
      <c r="U6" s="4"/>
    </row>
    <row r="7" spans="1:21" ht="15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4"/>
    </row>
    <row r="8" spans="1:21" ht="12.75">
      <c r="A8" s="4"/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4"/>
      <c r="T8" s="3"/>
      <c r="U8" s="4"/>
    </row>
    <row r="9" spans="1:21" ht="15">
      <c r="A9" s="57" t="s">
        <v>250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4"/>
    </row>
    <row r="10" spans="1:21" ht="15">
      <c r="A10" s="35" t="s">
        <v>533</v>
      </c>
      <c r="B10" s="35" t="s">
        <v>534</v>
      </c>
      <c r="C10" s="35" t="s">
        <v>543</v>
      </c>
      <c r="D10" s="4"/>
      <c r="E10" s="35" t="s">
        <v>535</v>
      </c>
      <c r="F10" s="35" t="s">
        <v>536</v>
      </c>
      <c r="G10" s="37" t="s">
        <v>537</v>
      </c>
      <c r="H10" s="37" t="s">
        <v>538</v>
      </c>
      <c r="I10" s="37" t="s">
        <v>539</v>
      </c>
      <c r="J10" s="3"/>
      <c r="K10" s="37" t="s">
        <v>540</v>
      </c>
      <c r="L10" s="37" t="s">
        <v>541</v>
      </c>
      <c r="M10" s="3"/>
      <c r="N10" s="3"/>
      <c r="O10" s="37" t="s">
        <v>549</v>
      </c>
      <c r="P10" s="3"/>
      <c r="Q10" s="36" t="s">
        <v>550</v>
      </c>
      <c r="R10" s="3"/>
      <c r="S10" s="4"/>
      <c r="T10" s="3"/>
      <c r="U10" s="4"/>
    </row>
    <row r="11" spans="1:21" ht="12.75">
      <c r="A11" s="35"/>
      <c r="B11" s="35"/>
      <c r="C11" s="35"/>
      <c r="D11" s="4"/>
      <c r="E11" s="35"/>
      <c r="F11" s="35"/>
      <c r="G11" s="37"/>
      <c r="H11" s="37"/>
      <c r="I11" s="37"/>
      <c r="J11" s="3"/>
      <c r="K11" s="37"/>
      <c r="L11" s="37"/>
      <c r="M11" s="3"/>
      <c r="N11" s="3"/>
      <c r="O11" s="3"/>
      <c r="P11" s="3"/>
      <c r="Q11" s="3"/>
      <c r="R11" s="3"/>
      <c r="S11" s="4"/>
      <c r="T11" s="3"/>
      <c r="U11" s="4"/>
    </row>
    <row r="12" spans="1:21" ht="12.75">
      <c r="A12" s="35"/>
      <c r="B12" s="35"/>
      <c r="C12" s="35"/>
      <c r="D12" s="4"/>
      <c r="E12" s="35"/>
      <c r="F12" s="35"/>
      <c r="G12" s="37"/>
      <c r="H12" s="37"/>
      <c r="I12" s="37"/>
      <c r="J12" s="3"/>
      <c r="K12" s="37"/>
      <c r="L12" s="37"/>
      <c r="M12" s="3"/>
      <c r="N12" s="3"/>
      <c r="O12" s="3"/>
      <c r="P12" s="3"/>
      <c r="Q12" s="3"/>
      <c r="R12" s="3"/>
      <c r="S12" s="4"/>
      <c r="T12" s="3"/>
      <c r="U12" s="4"/>
    </row>
    <row r="13" spans="1:21" ht="15">
      <c r="A13" s="4"/>
      <c r="B13" s="4"/>
      <c r="C13" s="4"/>
      <c r="D13" s="4"/>
      <c r="E13" s="4"/>
      <c r="F13" s="11" t="s">
        <v>511</v>
      </c>
      <c r="G13" s="4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4"/>
      <c r="T13" s="3"/>
      <c r="U13" s="4"/>
    </row>
    <row r="14" spans="1:21" ht="15">
      <c r="A14" s="4"/>
      <c r="B14" s="4"/>
      <c r="C14" s="4"/>
      <c r="D14" s="4"/>
      <c r="E14" s="4"/>
      <c r="F14" s="11" t="s">
        <v>519</v>
      </c>
      <c r="G14" s="35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4"/>
      <c r="T14" s="3"/>
      <c r="U14" s="4"/>
    </row>
    <row r="15" spans="1:21" ht="15">
      <c r="A15" s="4"/>
      <c r="B15" s="4"/>
      <c r="C15" s="4"/>
      <c r="D15" s="4"/>
      <c r="E15" s="4"/>
      <c r="F15" s="11" t="s">
        <v>512</v>
      </c>
      <c r="G15" s="4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4"/>
      <c r="T15" s="3"/>
      <c r="U15" s="4"/>
    </row>
    <row r="16" spans="1:21" ht="15">
      <c r="A16" s="4"/>
      <c r="B16" s="4"/>
      <c r="C16" s="4"/>
      <c r="D16" s="4"/>
      <c r="E16" s="4"/>
      <c r="F16" s="11" t="s">
        <v>517</v>
      </c>
      <c r="G16" s="4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4"/>
      <c r="T16" s="3"/>
      <c r="U16" s="4"/>
    </row>
    <row r="17" spans="1:21" ht="15">
      <c r="A17" s="4"/>
      <c r="B17" s="4"/>
      <c r="C17" s="4"/>
      <c r="D17" s="4"/>
      <c r="E17" s="4"/>
      <c r="F17" s="11" t="s">
        <v>513</v>
      </c>
      <c r="G17" s="4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4"/>
      <c r="T17" s="3"/>
      <c r="U17" s="4"/>
    </row>
  </sheetData>
  <sheetProtection/>
  <mergeCells count="14">
    <mergeCell ref="A5:T5"/>
    <mergeCell ref="A9:T9"/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O4"/>
    <mergeCell ref="P3:P4"/>
    <mergeCell ref="Q3:Q4"/>
  </mergeCells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7"/>
  <sheetViews>
    <sheetView zoomScalePageLayoutView="0" workbookViewId="0" topLeftCell="A1">
      <selection activeCell="A1" sqref="A1:U2"/>
    </sheetView>
  </sheetViews>
  <sheetFormatPr defaultColWidth="9.00390625" defaultRowHeight="12.75"/>
  <cols>
    <col min="1" max="1" width="16.125" style="0" customWidth="1"/>
    <col min="2" max="2" width="27.25390625" style="0" customWidth="1"/>
    <col min="3" max="3" width="10.25390625" style="0" customWidth="1"/>
    <col min="4" max="4" width="4.75390625" style="0" customWidth="1"/>
    <col min="5" max="5" width="6.00390625" style="0" customWidth="1"/>
    <col min="6" max="6" width="15.00390625" style="0" customWidth="1"/>
    <col min="9" max="9" width="9.125" style="0" customWidth="1"/>
    <col min="10" max="10" width="9.75390625" style="0" customWidth="1"/>
    <col min="15" max="15" width="17.75390625" style="0" customWidth="1"/>
    <col min="16" max="21" width="9.125" style="0" hidden="1" customWidth="1"/>
  </cols>
  <sheetData>
    <row r="1" spans="1:21" ht="12.75">
      <c r="A1" s="54" t="s">
        <v>552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4"/>
    </row>
    <row r="2" spans="1:21" ht="13.5" thickBot="1">
      <c r="A2" s="45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7"/>
    </row>
    <row r="3" spans="1:13" ht="15">
      <c r="A3" s="48" t="s">
        <v>0</v>
      </c>
      <c r="B3" s="50" t="s">
        <v>10</v>
      </c>
      <c r="C3" s="50" t="s">
        <v>11</v>
      </c>
      <c r="D3" s="52" t="s">
        <v>14</v>
      </c>
      <c r="E3" s="52" t="s">
        <v>7</v>
      </c>
      <c r="F3" s="52" t="s">
        <v>12</v>
      </c>
      <c r="G3" s="52" t="s">
        <v>558</v>
      </c>
      <c r="H3" s="52"/>
      <c r="I3" s="52"/>
      <c r="J3" s="52"/>
      <c r="K3" s="52" t="s">
        <v>441</v>
      </c>
      <c r="L3" s="52"/>
      <c r="M3" s="40" t="s">
        <v>5</v>
      </c>
    </row>
    <row r="4" spans="1:13" ht="15.75" thickBot="1">
      <c r="A4" s="49"/>
      <c r="B4" s="51"/>
      <c r="C4" s="51"/>
      <c r="D4" s="51"/>
      <c r="E4" s="51"/>
      <c r="F4" s="51"/>
      <c r="G4" s="7">
        <v>1</v>
      </c>
      <c r="H4" s="7">
        <v>2</v>
      </c>
      <c r="I4" s="7">
        <v>3</v>
      </c>
      <c r="J4" s="7" t="s">
        <v>8</v>
      </c>
      <c r="K4" s="51"/>
      <c r="L4" s="51"/>
      <c r="M4" s="41"/>
    </row>
    <row r="5" spans="1:21" ht="15">
      <c r="A5" s="56" t="s">
        <v>162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4"/>
    </row>
    <row r="6" spans="1:21" ht="15">
      <c r="A6" s="37" t="s">
        <v>553</v>
      </c>
      <c r="B6" s="37" t="s">
        <v>554</v>
      </c>
      <c r="C6" s="37" t="s">
        <v>555</v>
      </c>
      <c r="D6" s="36"/>
      <c r="E6" s="37" t="s">
        <v>556</v>
      </c>
      <c r="F6" s="37" t="s">
        <v>557</v>
      </c>
      <c r="G6" s="37" t="s">
        <v>565</v>
      </c>
      <c r="H6" s="37" t="s">
        <v>566</v>
      </c>
      <c r="I6" s="37"/>
      <c r="J6" s="36"/>
      <c r="K6" s="37" t="s">
        <v>567</v>
      </c>
      <c r="L6" s="37"/>
      <c r="M6" s="37" t="s">
        <v>564</v>
      </c>
      <c r="N6" s="36"/>
      <c r="O6" s="37"/>
      <c r="P6" s="36"/>
      <c r="Q6" s="36" t="s">
        <v>550</v>
      </c>
      <c r="R6" s="36"/>
      <c r="S6" s="36"/>
      <c r="T6" s="36"/>
      <c r="U6" s="4"/>
    </row>
    <row r="7" spans="1:21" ht="15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4"/>
    </row>
    <row r="8" spans="1:21" ht="12.75">
      <c r="A8" s="4"/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4"/>
      <c r="T8" s="3"/>
      <c r="U8" s="4"/>
    </row>
    <row r="9" spans="1:21" ht="15">
      <c r="A9" s="57" t="s">
        <v>250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4"/>
    </row>
    <row r="10" spans="1:21" ht="15">
      <c r="A10" s="35" t="s">
        <v>559</v>
      </c>
      <c r="B10" s="35" t="s">
        <v>560</v>
      </c>
      <c r="C10" s="35" t="s">
        <v>561</v>
      </c>
      <c r="D10" s="4"/>
      <c r="E10" s="35" t="s">
        <v>556</v>
      </c>
      <c r="F10" s="35" t="s">
        <v>536</v>
      </c>
      <c r="G10" s="37" t="s">
        <v>113</v>
      </c>
      <c r="H10" s="37" t="s">
        <v>562</v>
      </c>
      <c r="I10" s="37"/>
      <c r="J10" s="3"/>
      <c r="K10" s="37" t="s">
        <v>563</v>
      </c>
      <c r="L10" s="37"/>
      <c r="M10" s="37" t="s">
        <v>564</v>
      </c>
      <c r="N10" s="3"/>
      <c r="O10" s="37"/>
      <c r="P10" s="3"/>
      <c r="Q10" s="36" t="s">
        <v>550</v>
      </c>
      <c r="R10" s="3"/>
      <c r="S10" s="4"/>
      <c r="T10" s="3"/>
      <c r="U10" s="4"/>
    </row>
    <row r="11" spans="1:21" ht="12.75">
      <c r="A11" s="35"/>
      <c r="B11" s="35"/>
      <c r="C11" s="35"/>
      <c r="D11" s="4"/>
      <c r="E11" s="35"/>
      <c r="F11" s="35"/>
      <c r="G11" s="37"/>
      <c r="H11" s="37"/>
      <c r="I11" s="37"/>
      <c r="J11" s="3"/>
      <c r="K11" s="37"/>
      <c r="L11" s="37"/>
      <c r="M11" s="3"/>
      <c r="N11" s="3"/>
      <c r="O11" s="3"/>
      <c r="P11" s="3"/>
      <c r="Q11" s="3"/>
      <c r="R11" s="3"/>
      <c r="S11" s="4"/>
      <c r="T11" s="3"/>
      <c r="U11" s="4"/>
    </row>
    <row r="12" spans="1:21" ht="12.75">
      <c r="A12" s="35"/>
      <c r="B12" s="35"/>
      <c r="C12" s="35"/>
      <c r="D12" s="4"/>
      <c r="E12" s="35"/>
      <c r="F12" s="35"/>
      <c r="G12" s="37"/>
      <c r="H12" s="37"/>
      <c r="I12" s="37"/>
      <c r="J12" s="3"/>
      <c r="K12" s="37"/>
      <c r="L12" s="37"/>
      <c r="M12" s="3"/>
      <c r="N12" s="3"/>
      <c r="O12" s="3"/>
      <c r="P12" s="3"/>
      <c r="Q12" s="3"/>
      <c r="R12" s="3"/>
      <c r="S12" s="4"/>
      <c r="T12" s="3"/>
      <c r="U12" s="4"/>
    </row>
    <row r="13" spans="1:21" ht="15">
      <c r="A13" s="4"/>
      <c r="B13" s="4"/>
      <c r="C13" s="4"/>
      <c r="D13" s="4"/>
      <c r="E13" s="4"/>
      <c r="F13" s="11" t="s">
        <v>511</v>
      </c>
      <c r="G13" s="4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4"/>
      <c r="T13" s="3"/>
      <c r="U13" s="4"/>
    </row>
    <row r="14" spans="1:21" ht="15">
      <c r="A14" s="4"/>
      <c r="B14" s="4"/>
      <c r="C14" s="4"/>
      <c r="D14" s="4"/>
      <c r="E14" s="4"/>
      <c r="F14" s="11" t="s">
        <v>519</v>
      </c>
      <c r="G14" s="35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4"/>
      <c r="T14" s="3"/>
      <c r="U14" s="4"/>
    </row>
    <row r="15" spans="1:21" ht="15">
      <c r="A15" s="4"/>
      <c r="B15" s="4"/>
      <c r="C15" s="4"/>
      <c r="D15" s="4"/>
      <c r="E15" s="4"/>
      <c r="F15" s="11" t="s">
        <v>512</v>
      </c>
      <c r="G15" s="4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4"/>
      <c r="T15" s="3"/>
      <c r="U15" s="4"/>
    </row>
    <row r="16" spans="1:21" ht="15">
      <c r="A16" s="4"/>
      <c r="B16" s="4"/>
      <c r="C16" s="4"/>
      <c r="D16" s="4"/>
      <c r="E16" s="4"/>
      <c r="F16" s="11" t="s">
        <v>517</v>
      </c>
      <c r="G16" s="4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4"/>
      <c r="T16" s="3"/>
      <c r="U16" s="4"/>
    </row>
    <row r="17" spans="1:21" ht="15">
      <c r="A17" s="4"/>
      <c r="B17" s="4"/>
      <c r="C17" s="4"/>
      <c r="D17" s="4"/>
      <c r="E17" s="4"/>
      <c r="F17" s="11" t="s">
        <v>513</v>
      </c>
      <c r="G17" s="4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4"/>
      <c r="T17" s="3"/>
      <c r="U17" s="4"/>
    </row>
  </sheetData>
  <sheetProtection/>
  <mergeCells count="13">
    <mergeCell ref="L3:L4"/>
    <mergeCell ref="M3:M4"/>
    <mergeCell ref="A5:T5"/>
    <mergeCell ref="A9:T9"/>
    <mergeCell ref="A1:U2"/>
    <mergeCell ref="A3:A4"/>
    <mergeCell ref="B3:B4"/>
    <mergeCell ref="C3:C4"/>
    <mergeCell ref="D3:D4"/>
    <mergeCell ref="E3:E4"/>
    <mergeCell ref="F3:F4"/>
    <mergeCell ref="G3:J3"/>
    <mergeCell ref="K3:K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zoomScalePageLayoutView="0" workbookViewId="0" topLeftCell="A1">
      <selection activeCell="E18" sqref="E18"/>
    </sheetView>
  </sheetViews>
  <sheetFormatPr defaultColWidth="9.00390625" defaultRowHeight="12.75"/>
  <cols>
    <col min="1" max="1" width="26.00390625" style="4" bestFit="1" customWidth="1"/>
    <col min="2" max="2" width="32.875" style="4" customWidth="1"/>
    <col min="3" max="4" width="10.625" style="4" bestFit="1" customWidth="1"/>
    <col min="5" max="5" width="22.75390625" style="4" bestFit="1" customWidth="1"/>
    <col min="6" max="6" width="29.00390625" style="4" bestFit="1" customWidth="1"/>
    <col min="7" max="7" width="5.625" style="3" bestFit="1" customWidth="1"/>
    <col min="8" max="8" width="5.625" style="30" bestFit="1" customWidth="1"/>
    <col min="9" max="9" width="7.875" style="4" bestFit="1" customWidth="1"/>
    <col min="10" max="10" width="7.625" style="3" bestFit="1" customWidth="1"/>
    <col min="11" max="11" width="15.75390625" style="4" bestFit="1" customWidth="1"/>
    <col min="12" max="16384" width="9.125" style="3" customWidth="1"/>
  </cols>
  <sheetData>
    <row r="1" spans="1:11" s="2" customFormat="1" ht="28.5" customHeight="1">
      <c r="A1" s="54" t="s">
        <v>490</v>
      </c>
      <c r="B1" s="43"/>
      <c r="C1" s="43"/>
      <c r="D1" s="43"/>
      <c r="E1" s="43"/>
      <c r="F1" s="43"/>
      <c r="G1" s="43"/>
      <c r="H1" s="43"/>
      <c r="I1" s="43"/>
      <c r="J1" s="43"/>
      <c r="K1" s="44"/>
    </row>
    <row r="2" spans="1:11" s="2" customFormat="1" ht="61.5" customHeight="1" thickBot="1">
      <c r="A2" s="45"/>
      <c r="B2" s="46"/>
      <c r="C2" s="46"/>
      <c r="D2" s="46"/>
      <c r="E2" s="46"/>
      <c r="F2" s="46"/>
      <c r="G2" s="46"/>
      <c r="H2" s="46"/>
      <c r="I2" s="46"/>
      <c r="J2" s="46"/>
      <c r="K2" s="47"/>
    </row>
    <row r="3" spans="1:11" s="1" customFormat="1" ht="12.75" customHeight="1">
      <c r="A3" s="48" t="s">
        <v>0</v>
      </c>
      <c r="B3" s="50" t="s">
        <v>10</v>
      </c>
      <c r="C3" s="50" t="s">
        <v>11</v>
      </c>
      <c r="D3" s="52" t="s">
        <v>461</v>
      </c>
      <c r="E3" s="52" t="s">
        <v>7</v>
      </c>
      <c r="F3" s="52" t="s">
        <v>12</v>
      </c>
      <c r="G3" s="52" t="s">
        <v>438</v>
      </c>
      <c r="H3" s="52"/>
      <c r="I3" s="52" t="s">
        <v>441</v>
      </c>
      <c r="J3" s="52" t="s">
        <v>6</v>
      </c>
      <c r="K3" s="40" t="s">
        <v>5</v>
      </c>
    </row>
    <row r="4" spans="1:11" s="1" customFormat="1" ht="21" customHeight="1" thickBot="1">
      <c r="A4" s="49"/>
      <c r="B4" s="51"/>
      <c r="C4" s="51"/>
      <c r="D4" s="51"/>
      <c r="E4" s="51"/>
      <c r="F4" s="51"/>
      <c r="G4" s="7" t="s">
        <v>439</v>
      </c>
      <c r="H4" s="28" t="s">
        <v>440</v>
      </c>
      <c r="I4" s="51"/>
      <c r="J4" s="51"/>
      <c r="K4" s="41"/>
    </row>
    <row r="5" spans="1:10" ht="15">
      <c r="A5" s="53" t="s">
        <v>462</v>
      </c>
      <c r="B5" s="53"/>
      <c r="C5" s="53"/>
      <c r="D5" s="53"/>
      <c r="E5" s="53"/>
      <c r="F5" s="53"/>
      <c r="G5" s="53"/>
      <c r="H5" s="53"/>
      <c r="I5" s="53"/>
      <c r="J5" s="53"/>
    </row>
    <row r="6" spans="1:11" ht="12.75">
      <c r="A6" s="19" t="s">
        <v>491</v>
      </c>
      <c r="B6" s="19" t="s">
        <v>492</v>
      </c>
      <c r="C6" s="19" t="s">
        <v>493</v>
      </c>
      <c r="D6" s="19" t="str">
        <f>"1,0000"</f>
        <v>1,0000</v>
      </c>
      <c r="E6" s="19" t="s">
        <v>120</v>
      </c>
      <c r="F6" s="19" t="s">
        <v>74</v>
      </c>
      <c r="G6" s="21" t="s">
        <v>352</v>
      </c>
      <c r="H6" s="31" t="s">
        <v>494</v>
      </c>
      <c r="I6" s="19" t="str">
        <f>"3190,0"</f>
        <v>3190,0</v>
      </c>
      <c r="J6" s="21" t="str">
        <f>"35,2876"</f>
        <v>35,2876</v>
      </c>
      <c r="K6" s="19" t="s">
        <v>83</v>
      </c>
    </row>
    <row r="7" spans="1:11" ht="12.75">
      <c r="A7" s="25" t="s">
        <v>495</v>
      </c>
      <c r="B7" s="25" t="s">
        <v>496</v>
      </c>
      <c r="C7" s="25" t="s">
        <v>497</v>
      </c>
      <c r="D7" s="25" t="str">
        <f>"1,0000"</f>
        <v>1,0000</v>
      </c>
      <c r="E7" s="25" t="s">
        <v>39</v>
      </c>
      <c r="F7" s="25" t="s">
        <v>24</v>
      </c>
      <c r="G7" s="27" t="s">
        <v>337</v>
      </c>
      <c r="H7" s="33" t="s">
        <v>498</v>
      </c>
      <c r="I7" s="25" t="str">
        <f>"0.00"</f>
        <v>0.00</v>
      </c>
      <c r="J7" s="27" t="str">
        <f>"0,0000"</f>
        <v>0,0000</v>
      </c>
      <c r="K7" s="25" t="s">
        <v>499</v>
      </c>
    </row>
    <row r="8" spans="1:11" ht="12.75">
      <c r="A8" s="25" t="s">
        <v>105</v>
      </c>
      <c r="B8" s="25" t="s">
        <v>500</v>
      </c>
      <c r="C8" s="25" t="s">
        <v>107</v>
      </c>
      <c r="D8" s="25" t="str">
        <f>"1,0000"</f>
        <v>1,0000</v>
      </c>
      <c r="E8" s="25" t="s">
        <v>23</v>
      </c>
      <c r="F8" s="25" t="s">
        <v>74</v>
      </c>
      <c r="G8" s="27" t="s">
        <v>337</v>
      </c>
      <c r="H8" s="33" t="s">
        <v>501</v>
      </c>
      <c r="I8" s="25" t="str">
        <f>"4455,0"</f>
        <v>4455,0</v>
      </c>
      <c r="J8" s="27" t="str">
        <f>"36,3673"</f>
        <v>36,3673</v>
      </c>
      <c r="K8" s="25" t="s">
        <v>83</v>
      </c>
    </row>
    <row r="9" spans="1:11" ht="12.75">
      <c r="A9" s="34" t="s">
        <v>506</v>
      </c>
      <c r="B9" s="34" t="s">
        <v>568</v>
      </c>
      <c r="C9" s="22" t="s">
        <v>502</v>
      </c>
      <c r="D9" s="22" t="str">
        <f>"1,0000"</f>
        <v>1,0000</v>
      </c>
      <c r="E9" s="22" t="s">
        <v>23</v>
      </c>
      <c r="F9" s="22" t="s">
        <v>74</v>
      </c>
      <c r="G9" s="24" t="s">
        <v>352</v>
      </c>
      <c r="H9" s="32" t="s">
        <v>447</v>
      </c>
      <c r="I9" s="22" t="str">
        <f>"825,0"</f>
        <v>825,0</v>
      </c>
      <c r="J9" s="24" t="str">
        <f>"13,9358"</f>
        <v>13,9358</v>
      </c>
      <c r="K9" s="22" t="s">
        <v>83</v>
      </c>
    </row>
    <row r="11" ht="15">
      <c r="E11" s="11" t="s">
        <v>507</v>
      </c>
    </row>
    <row r="12" spans="5:6" ht="15">
      <c r="E12" s="11" t="s">
        <v>49</v>
      </c>
      <c r="F12" s="35" t="s">
        <v>508</v>
      </c>
    </row>
    <row r="13" spans="5:6" ht="15">
      <c r="E13" s="11" t="s">
        <v>50</v>
      </c>
      <c r="F13" s="35" t="s">
        <v>509</v>
      </c>
    </row>
    <row r="14" spans="5:6" ht="15">
      <c r="E14" s="11" t="s">
        <v>51</v>
      </c>
      <c r="F14" s="35" t="s">
        <v>510</v>
      </c>
    </row>
    <row r="15" spans="5:6" ht="15">
      <c r="E15" s="11"/>
      <c r="F15" s="35"/>
    </row>
    <row r="16" spans="5:11" ht="12.75">
      <c r="E16" s="3"/>
      <c r="F16" s="30"/>
      <c r="G16" s="4"/>
      <c r="H16" s="3"/>
      <c r="K16" s="3"/>
    </row>
    <row r="17" ht="15">
      <c r="E17" s="11"/>
    </row>
    <row r="19" spans="2:11" ht="12.75">
      <c r="B19" s="3"/>
      <c r="C19" s="30"/>
      <c r="E19" s="3"/>
      <c r="H19" s="3"/>
      <c r="I19" s="3"/>
      <c r="K19" s="3"/>
    </row>
    <row r="20" spans="2:11" ht="12.75">
      <c r="B20" s="3"/>
      <c r="C20" s="30"/>
      <c r="E20" s="3"/>
      <c r="H20" s="3"/>
      <c r="I20" s="3"/>
      <c r="K20" s="3"/>
    </row>
    <row r="21" spans="2:11" ht="12.75">
      <c r="B21" s="3"/>
      <c r="C21" s="30"/>
      <c r="E21" s="3"/>
      <c r="H21" s="3"/>
      <c r="I21" s="3"/>
      <c r="K21" s="3"/>
    </row>
    <row r="22" spans="2:11" ht="12.75">
      <c r="B22" s="3"/>
      <c r="C22" s="30"/>
      <c r="E22" s="3"/>
      <c r="H22" s="3"/>
      <c r="I22" s="3"/>
      <c r="K22" s="3"/>
    </row>
    <row r="23" spans="2:11" ht="12.75">
      <c r="B23" s="3"/>
      <c r="C23" s="30"/>
      <c r="E23" s="3"/>
      <c r="H23" s="3"/>
      <c r="I23" s="3"/>
      <c r="K23" s="3"/>
    </row>
    <row r="24" spans="2:11" ht="12.75">
      <c r="B24" s="3"/>
      <c r="C24" s="30"/>
      <c r="E24" s="3"/>
      <c r="H24" s="3"/>
      <c r="I24" s="3"/>
      <c r="K24" s="3"/>
    </row>
    <row r="25" spans="2:11" ht="12.75">
      <c r="B25" s="3"/>
      <c r="C25" s="30"/>
      <c r="E25" s="3"/>
      <c r="H25" s="3"/>
      <c r="I25" s="3"/>
      <c r="K25" s="3"/>
    </row>
    <row r="26" spans="2:11" ht="12.75">
      <c r="B26" s="3"/>
      <c r="C26" s="30"/>
      <c r="E26" s="3"/>
      <c r="H26" s="3"/>
      <c r="I26" s="3"/>
      <c r="K26" s="3"/>
    </row>
    <row r="27" spans="2:11" ht="12.75">
      <c r="B27" s="3"/>
      <c r="C27" s="30"/>
      <c r="E27" s="3"/>
      <c r="H27" s="3"/>
      <c r="I27" s="3"/>
      <c r="K27" s="3"/>
    </row>
    <row r="28" spans="2:11" ht="12.75">
      <c r="B28" s="3"/>
      <c r="C28" s="30"/>
      <c r="E28" s="3"/>
      <c r="H28" s="3"/>
      <c r="I28" s="3"/>
      <c r="K28" s="3"/>
    </row>
    <row r="29" spans="2:11" ht="12.75">
      <c r="B29" s="3"/>
      <c r="C29" s="30"/>
      <c r="E29" s="3"/>
      <c r="H29" s="3"/>
      <c r="I29" s="3"/>
      <c r="K29" s="3"/>
    </row>
    <row r="30" spans="2:11" ht="12.75">
      <c r="B30" s="3"/>
      <c r="C30" s="30"/>
      <c r="E30" s="3"/>
      <c r="H30" s="3"/>
      <c r="I30" s="3"/>
      <c r="K30" s="3"/>
    </row>
    <row r="31" spans="2:11" ht="12.75">
      <c r="B31" s="3"/>
      <c r="C31" s="30"/>
      <c r="E31" s="3"/>
      <c r="H31" s="3"/>
      <c r="I31" s="3"/>
      <c r="K31" s="3"/>
    </row>
  </sheetData>
  <sheetProtection/>
  <mergeCells count="12">
    <mergeCell ref="I3:I4"/>
    <mergeCell ref="J3:J4"/>
    <mergeCell ref="K3:K4"/>
    <mergeCell ref="A5:J5"/>
    <mergeCell ref="A1:K2"/>
    <mergeCell ref="A3:A4"/>
    <mergeCell ref="B3:B4"/>
    <mergeCell ref="C3:C4"/>
    <mergeCell ref="D3:D4"/>
    <mergeCell ref="E3:E4"/>
    <mergeCell ref="F3:F4"/>
    <mergeCell ref="G3:H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5:K15"/>
  <sheetViews>
    <sheetView zoomScalePageLayoutView="0" workbookViewId="0" topLeftCell="A1">
      <selection activeCell="C15" sqref="A1:K15"/>
    </sheetView>
  </sheetViews>
  <sheetFormatPr defaultColWidth="9.00390625" defaultRowHeight="12.75"/>
  <cols>
    <col min="1" max="1" width="26.00390625" style="4" bestFit="1" customWidth="1"/>
    <col min="2" max="2" width="26.25390625" style="4" bestFit="1" customWidth="1"/>
    <col min="3" max="3" width="9.75390625" style="4" bestFit="1" customWidth="1"/>
    <col min="4" max="4" width="6.625" style="4" bestFit="1" customWidth="1"/>
    <col min="5" max="5" width="22.75390625" style="4" bestFit="1" customWidth="1"/>
    <col min="6" max="6" width="17.25390625" style="4" bestFit="1" customWidth="1"/>
    <col min="7" max="7" width="2.125" style="3" bestFit="1" customWidth="1"/>
    <col min="8" max="8" width="2.125" style="30" bestFit="1" customWidth="1"/>
    <col min="9" max="9" width="7.875" style="4" bestFit="1" customWidth="1"/>
    <col min="10" max="10" width="6.375" style="3" bestFit="1" customWidth="1"/>
    <col min="11" max="11" width="8.875" style="4" bestFit="1" customWidth="1"/>
    <col min="12" max="16384" width="9.125" style="3" customWidth="1"/>
  </cols>
  <sheetData>
    <row r="1" s="2" customFormat="1" ht="28.5" customHeight="1"/>
    <row r="2" s="2" customFormat="1" ht="61.5" customHeight="1"/>
    <row r="3" s="1" customFormat="1" ht="12.75" customHeight="1"/>
    <row r="4" s="1" customFormat="1" ht="21" customHeight="1"/>
    <row r="5" spans="1:11" ht="12.75">
      <c r="A5" s="3"/>
      <c r="B5" s="3"/>
      <c r="C5" s="3"/>
      <c r="D5" s="3"/>
      <c r="E5" s="3"/>
      <c r="F5" s="3"/>
      <c r="H5" s="3"/>
      <c r="I5" s="3"/>
      <c r="K5" s="3"/>
    </row>
    <row r="6" spans="1:11" ht="12.75">
      <c r="A6" s="3"/>
      <c r="B6" s="3"/>
      <c r="C6" s="3"/>
      <c r="D6" s="3"/>
      <c r="E6" s="3"/>
      <c r="F6" s="3"/>
      <c r="H6" s="3"/>
      <c r="I6" s="3"/>
      <c r="K6" s="3"/>
    </row>
    <row r="7" spans="1:11" ht="12.75">
      <c r="A7" s="3"/>
      <c r="B7" s="3"/>
      <c r="C7" s="3"/>
      <c r="D7" s="3"/>
      <c r="E7" s="3"/>
      <c r="F7" s="3"/>
      <c r="H7" s="3"/>
      <c r="I7" s="3"/>
      <c r="K7" s="3"/>
    </row>
    <row r="8" spans="1:11" ht="12.75">
      <c r="A8" s="3"/>
      <c r="B8" s="3"/>
      <c r="C8" s="3"/>
      <c r="D8" s="3"/>
      <c r="E8" s="3"/>
      <c r="F8" s="3"/>
      <c r="H8" s="3"/>
      <c r="I8" s="3"/>
      <c r="K8" s="3"/>
    </row>
    <row r="9" spans="1:11" ht="12.75">
      <c r="A9" s="3"/>
      <c r="B9" s="3"/>
      <c r="C9" s="3"/>
      <c r="D9" s="3"/>
      <c r="E9" s="3"/>
      <c r="F9" s="3"/>
      <c r="H9" s="3"/>
      <c r="I9" s="3"/>
      <c r="K9" s="3"/>
    </row>
    <row r="10" spans="1:11" ht="12.75">
      <c r="A10" s="3"/>
      <c r="B10" s="3"/>
      <c r="C10" s="3"/>
      <c r="D10" s="3"/>
      <c r="E10" s="3"/>
      <c r="F10" s="3"/>
      <c r="H10" s="3"/>
      <c r="I10" s="3"/>
      <c r="K10" s="3"/>
    </row>
    <row r="11" spans="1:11" ht="12.75">
      <c r="A11" s="3"/>
      <c r="B11" s="3"/>
      <c r="C11" s="3"/>
      <c r="D11" s="3"/>
      <c r="E11" s="3"/>
      <c r="F11" s="3"/>
      <c r="H11" s="3"/>
      <c r="I11" s="3"/>
      <c r="K11" s="3"/>
    </row>
    <row r="12" spans="1:11" ht="12.75">
      <c r="A12" s="3"/>
      <c r="B12" s="3"/>
      <c r="C12" s="3"/>
      <c r="D12" s="3"/>
      <c r="E12" s="3"/>
      <c r="F12" s="3"/>
      <c r="H12" s="3"/>
      <c r="I12" s="3"/>
      <c r="K12" s="3"/>
    </row>
    <row r="13" spans="1:11" ht="12.75">
      <c r="A13" s="3"/>
      <c r="B13" s="3"/>
      <c r="C13" s="3"/>
      <c r="D13" s="3"/>
      <c r="E13" s="3"/>
      <c r="F13" s="3"/>
      <c r="H13" s="3"/>
      <c r="I13" s="3"/>
      <c r="K13" s="3"/>
    </row>
    <row r="14" spans="1:11" ht="12.75">
      <c r="A14" s="3"/>
      <c r="B14" s="3"/>
      <c r="C14" s="3"/>
      <c r="D14" s="3"/>
      <c r="E14" s="3"/>
      <c r="F14" s="3"/>
      <c r="H14" s="3"/>
      <c r="I14" s="3"/>
      <c r="K14" s="3"/>
    </row>
    <row r="15" spans="1:11" ht="12.75">
      <c r="A15" s="3"/>
      <c r="B15" s="3"/>
      <c r="C15" s="3"/>
      <c r="D15" s="3"/>
      <c r="E15" s="3"/>
      <c r="F15" s="3"/>
      <c r="H15" s="3"/>
      <c r="I15" s="3"/>
      <c r="K15" s="3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5:K15"/>
  <sheetViews>
    <sheetView zoomScalePageLayoutView="0" workbookViewId="0" topLeftCell="A1">
      <selection activeCell="B15" sqref="A1:K15"/>
    </sheetView>
  </sheetViews>
  <sheetFormatPr defaultColWidth="9.00390625" defaultRowHeight="12.75"/>
  <cols>
    <col min="1" max="1" width="26.00390625" style="4" bestFit="1" customWidth="1"/>
    <col min="2" max="2" width="26.25390625" style="4" bestFit="1" customWidth="1"/>
    <col min="3" max="3" width="9.75390625" style="4" bestFit="1" customWidth="1"/>
    <col min="4" max="4" width="6.625" style="4" bestFit="1" customWidth="1"/>
    <col min="5" max="5" width="22.75390625" style="4" bestFit="1" customWidth="1"/>
    <col min="6" max="6" width="17.25390625" style="4" bestFit="1" customWidth="1"/>
    <col min="7" max="7" width="2.125" style="3" bestFit="1" customWidth="1"/>
    <col min="8" max="8" width="2.125" style="30" bestFit="1" customWidth="1"/>
    <col min="9" max="9" width="7.875" style="4" bestFit="1" customWidth="1"/>
    <col min="10" max="10" width="6.375" style="3" bestFit="1" customWidth="1"/>
    <col min="11" max="11" width="8.875" style="4" bestFit="1" customWidth="1"/>
    <col min="12" max="16384" width="9.125" style="3" customWidth="1"/>
  </cols>
  <sheetData>
    <row r="1" s="2" customFormat="1" ht="28.5" customHeight="1"/>
    <row r="2" s="2" customFormat="1" ht="61.5" customHeight="1"/>
    <row r="3" s="1" customFormat="1" ht="12.75" customHeight="1"/>
    <row r="4" s="1" customFormat="1" ht="21" customHeight="1"/>
    <row r="5" spans="1:11" ht="12.75">
      <c r="A5" s="3"/>
      <c r="B5" s="3"/>
      <c r="C5" s="3"/>
      <c r="D5" s="3"/>
      <c r="E5" s="3"/>
      <c r="F5" s="3"/>
      <c r="H5" s="3"/>
      <c r="I5" s="3"/>
      <c r="K5" s="3"/>
    </row>
    <row r="6" spans="1:11" ht="12.75">
      <c r="A6" s="3"/>
      <c r="B6" s="3"/>
      <c r="C6" s="3"/>
      <c r="D6" s="3"/>
      <c r="E6" s="3"/>
      <c r="F6" s="3"/>
      <c r="H6" s="3"/>
      <c r="I6" s="3"/>
      <c r="K6" s="3"/>
    </row>
    <row r="7" spans="1:11" ht="12.75">
      <c r="A7" s="3"/>
      <c r="B7" s="3"/>
      <c r="C7" s="3"/>
      <c r="D7" s="3"/>
      <c r="E7" s="3"/>
      <c r="F7" s="3"/>
      <c r="H7" s="3"/>
      <c r="I7" s="3"/>
      <c r="K7" s="3"/>
    </row>
    <row r="8" spans="1:11" ht="12.75">
      <c r="A8" s="3"/>
      <c r="B8" s="3"/>
      <c r="C8" s="3"/>
      <c r="D8" s="3"/>
      <c r="E8" s="3"/>
      <c r="F8" s="3"/>
      <c r="H8" s="3"/>
      <c r="I8" s="3"/>
      <c r="K8" s="3"/>
    </row>
    <row r="9" spans="1:11" ht="12.75">
      <c r="A9" s="3"/>
      <c r="B9" s="3"/>
      <c r="C9" s="3"/>
      <c r="D9" s="3"/>
      <c r="E9" s="3"/>
      <c r="F9" s="3"/>
      <c r="H9" s="3"/>
      <c r="I9" s="3"/>
      <c r="K9" s="3"/>
    </row>
    <row r="10" spans="1:11" ht="12.75">
      <c r="A10" s="3"/>
      <c r="B10" s="3"/>
      <c r="C10" s="3"/>
      <c r="D10" s="3"/>
      <c r="E10" s="3"/>
      <c r="F10" s="3"/>
      <c r="H10" s="3"/>
      <c r="I10" s="3"/>
      <c r="K10" s="3"/>
    </row>
    <row r="11" spans="1:11" ht="12.75">
      <c r="A11" s="3"/>
      <c r="B11" s="3"/>
      <c r="C11" s="3"/>
      <c r="D11" s="3"/>
      <c r="E11" s="3"/>
      <c r="F11" s="3"/>
      <c r="H11" s="3"/>
      <c r="I11" s="3"/>
      <c r="K11" s="3"/>
    </row>
    <row r="12" spans="1:11" ht="12.75">
      <c r="A12" s="3"/>
      <c r="B12" s="3"/>
      <c r="C12" s="3"/>
      <c r="D12" s="3"/>
      <c r="E12" s="3"/>
      <c r="F12" s="3"/>
      <c r="H12" s="3"/>
      <c r="I12" s="3"/>
      <c r="K12" s="3"/>
    </row>
    <row r="13" spans="1:11" ht="12.75">
      <c r="A13" s="3"/>
      <c r="B13" s="3"/>
      <c r="C13" s="3"/>
      <c r="D13" s="3"/>
      <c r="E13" s="3"/>
      <c r="F13" s="3"/>
      <c r="H13" s="3"/>
      <c r="I13" s="3"/>
      <c r="K13" s="3"/>
    </row>
    <row r="14" spans="1:11" ht="12.75">
      <c r="A14" s="3"/>
      <c r="B14" s="3"/>
      <c r="C14" s="3"/>
      <c r="D14" s="3"/>
      <c r="E14" s="3"/>
      <c r="F14" s="3"/>
      <c r="H14" s="3"/>
      <c r="I14" s="3"/>
      <c r="K14" s="3"/>
    </row>
    <row r="15" spans="1:11" ht="12.75">
      <c r="A15" s="3"/>
      <c r="B15" s="3"/>
      <c r="C15" s="3"/>
      <c r="D15" s="3"/>
      <c r="E15" s="3"/>
      <c r="F15" s="3"/>
      <c r="H15" s="3"/>
      <c r="I15" s="3"/>
      <c r="K15" s="3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zoomScalePageLayoutView="0" workbookViewId="0" topLeftCell="A1">
      <selection activeCell="E12" sqref="E12"/>
    </sheetView>
  </sheetViews>
  <sheetFormatPr defaultColWidth="9.00390625" defaultRowHeight="12.75"/>
  <cols>
    <col min="1" max="1" width="26.00390625" style="4" bestFit="1" customWidth="1"/>
    <col min="2" max="2" width="28.625" style="4" bestFit="1" customWidth="1"/>
    <col min="3" max="4" width="10.625" style="4" bestFit="1" customWidth="1"/>
    <col min="5" max="5" width="22.75390625" style="4" bestFit="1" customWidth="1"/>
    <col min="6" max="6" width="29.00390625" style="4" bestFit="1" customWidth="1"/>
    <col min="7" max="7" width="5.625" style="3" bestFit="1" customWidth="1"/>
    <col min="8" max="8" width="4.625" style="30" bestFit="1" customWidth="1"/>
    <col min="9" max="9" width="7.875" style="4" bestFit="1" customWidth="1"/>
    <col min="10" max="10" width="7.625" style="3" bestFit="1" customWidth="1"/>
    <col min="11" max="11" width="12.375" style="4" bestFit="1" customWidth="1"/>
    <col min="12" max="16384" width="9.125" style="3" customWidth="1"/>
  </cols>
  <sheetData>
    <row r="1" spans="1:11" s="2" customFormat="1" ht="28.5" customHeight="1">
      <c r="A1" s="54" t="s">
        <v>481</v>
      </c>
      <c r="B1" s="43"/>
      <c r="C1" s="43"/>
      <c r="D1" s="43"/>
      <c r="E1" s="43"/>
      <c r="F1" s="43"/>
      <c r="G1" s="43"/>
      <c r="H1" s="43"/>
      <c r="I1" s="43"/>
      <c r="J1" s="43"/>
      <c r="K1" s="44"/>
    </row>
    <row r="2" spans="1:11" s="2" customFormat="1" ht="61.5" customHeight="1" thickBot="1">
      <c r="A2" s="45"/>
      <c r="B2" s="46"/>
      <c r="C2" s="46"/>
      <c r="D2" s="46"/>
      <c r="E2" s="46"/>
      <c r="F2" s="46"/>
      <c r="G2" s="46"/>
      <c r="H2" s="46"/>
      <c r="I2" s="46"/>
      <c r="J2" s="46"/>
      <c r="K2" s="47"/>
    </row>
    <row r="3" spans="1:11" s="1" customFormat="1" ht="12.75" customHeight="1">
      <c r="A3" s="48" t="s">
        <v>0</v>
      </c>
      <c r="B3" s="50" t="s">
        <v>10</v>
      </c>
      <c r="C3" s="50" t="s">
        <v>11</v>
      </c>
      <c r="D3" s="52" t="s">
        <v>461</v>
      </c>
      <c r="E3" s="52" t="s">
        <v>7</v>
      </c>
      <c r="F3" s="52" t="s">
        <v>12</v>
      </c>
      <c r="G3" s="52" t="s">
        <v>438</v>
      </c>
      <c r="H3" s="52"/>
      <c r="I3" s="52" t="s">
        <v>441</v>
      </c>
      <c r="J3" s="52" t="s">
        <v>6</v>
      </c>
      <c r="K3" s="40" t="s">
        <v>5</v>
      </c>
    </row>
    <row r="4" spans="1:11" s="1" customFormat="1" ht="21" customHeight="1" thickBot="1">
      <c r="A4" s="49"/>
      <c r="B4" s="51"/>
      <c r="C4" s="51"/>
      <c r="D4" s="51"/>
      <c r="E4" s="51"/>
      <c r="F4" s="51"/>
      <c r="G4" s="7" t="s">
        <v>439</v>
      </c>
      <c r="H4" s="28" t="s">
        <v>440</v>
      </c>
      <c r="I4" s="51"/>
      <c r="J4" s="51"/>
      <c r="K4" s="41"/>
    </row>
    <row r="5" spans="1:10" ht="15">
      <c r="A5" s="53" t="s">
        <v>462</v>
      </c>
      <c r="B5" s="53"/>
      <c r="C5" s="53"/>
      <c r="D5" s="53"/>
      <c r="E5" s="53"/>
      <c r="F5" s="53"/>
      <c r="G5" s="53"/>
      <c r="H5" s="53"/>
      <c r="I5" s="53"/>
      <c r="J5" s="53"/>
    </row>
    <row r="6" spans="1:11" ht="12.75">
      <c r="A6" s="8" t="s">
        <v>483</v>
      </c>
      <c r="B6" s="8" t="s">
        <v>484</v>
      </c>
      <c r="C6" s="8" t="s">
        <v>485</v>
      </c>
      <c r="D6" s="8" t="str">
        <f>"1,0000"</f>
        <v>1,0000</v>
      </c>
      <c r="E6" s="8" t="s">
        <v>23</v>
      </c>
      <c r="F6" s="8" t="s">
        <v>74</v>
      </c>
      <c r="G6" s="9" t="s">
        <v>486</v>
      </c>
      <c r="H6" s="29" t="s">
        <v>487</v>
      </c>
      <c r="I6" s="8" t="str">
        <f>"3900,0"</f>
        <v>3900,0</v>
      </c>
      <c r="J6" s="9" t="str">
        <f>"40,5827"</f>
        <v>40,5827</v>
      </c>
      <c r="K6" s="8" t="s">
        <v>468</v>
      </c>
    </row>
    <row r="8" spans="5:6" ht="15">
      <c r="E8" s="11" t="s">
        <v>48</v>
      </c>
      <c r="F8" s="35" t="s">
        <v>526</v>
      </c>
    </row>
    <row r="9" spans="5:6" ht="15">
      <c r="E9" s="11" t="s">
        <v>49</v>
      </c>
      <c r="F9" s="35" t="s">
        <v>508</v>
      </c>
    </row>
    <row r="10" spans="5:6" ht="15">
      <c r="E10" s="11" t="s">
        <v>50</v>
      </c>
      <c r="F10" s="35" t="s">
        <v>525</v>
      </c>
    </row>
    <row r="11" spans="5:6" ht="15">
      <c r="E11" s="11" t="s">
        <v>51</v>
      </c>
      <c r="F11" s="35" t="s">
        <v>523</v>
      </c>
    </row>
    <row r="12" ht="15">
      <c r="E12" s="11"/>
    </row>
    <row r="13" ht="15">
      <c r="E13" s="11"/>
    </row>
    <row r="14" ht="15">
      <c r="E14" s="11"/>
    </row>
    <row r="16" spans="1:2" ht="18">
      <c r="A16" s="12" t="s">
        <v>52</v>
      </c>
      <c r="B16" s="12"/>
    </row>
    <row r="17" spans="1:2" ht="15">
      <c r="A17" s="13" t="s">
        <v>63</v>
      </c>
      <c r="B17" s="13"/>
    </row>
    <row r="18" spans="1:2" ht="14.25">
      <c r="A18" s="15"/>
      <c r="B18" s="16" t="s">
        <v>229</v>
      </c>
    </row>
    <row r="19" spans="1:5" ht="15">
      <c r="A19" s="17" t="s">
        <v>55</v>
      </c>
      <c r="B19" s="17" t="s">
        <v>56</v>
      </c>
      <c r="C19" s="17" t="s">
        <v>57</v>
      </c>
      <c r="D19" s="17" t="s">
        <v>58</v>
      </c>
      <c r="E19" s="17" t="s">
        <v>475</v>
      </c>
    </row>
    <row r="20" spans="1:5" ht="12.75">
      <c r="A20" s="14" t="s">
        <v>482</v>
      </c>
      <c r="B20" s="4" t="s">
        <v>229</v>
      </c>
      <c r="C20" s="4" t="s">
        <v>476</v>
      </c>
      <c r="D20" s="4" t="s">
        <v>488</v>
      </c>
      <c r="E20" s="18" t="s">
        <v>489</v>
      </c>
    </row>
  </sheetData>
  <sheetProtection/>
  <mergeCells count="12">
    <mergeCell ref="I3:I4"/>
    <mergeCell ref="J3:J4"/>
    <mergeCell ref="K3:K4"/>
    <mergeCell ref="A5:J5"/>
    <mergeCell ref="A1:K2"/>
    <mergeCell ref="A3:A4"/>
    <mergeCell ref="B3:B4"/>
    <mergeCell ref="C3:C4"/>
    <mergeCell ref="D3:D4"/>
    <mergeCell ref="E3:E4"/>
    <mergeCell ref="F3:F4"/>
    <mergeCell ref="G3:H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zoomScalePageLayoutView="0" workbookViewId="0" topLeftCell="A1">
      <selection activeCell="F12" sqref="F9:F12"/>
    </sheetView>
  </sheetViews>
  <sheetFormatPr defaultColWidth="9.00390625" defaultRowHeight="12.75"/>
  <cols>
    <col min="1" max="1" width="26.00390625" style="4" bestFit="1" customWidth="1"/>
    <col min="2" max="2" width="28.625" style="4" bestFit="1" customWidth="1"/>
    <col min="3" max="4" width="10.625" style="4" bestFit="1" customWidth="1"/>
    <col min="5" max="5" width="22.75390625" style="4" bestFit="1" customWidth="1"/>
    <col min="6" max="6" width="29.00390625" style="4" bestFit="1" customWidth="1"/>
    <col min="7" max="7" width="4.625" style="3" bestFit="1" customWidth="1"/>
    <col min="8" max="8" width="4.625" style="30" bestFit="1" customWidth="1"/>
    <col min="9" max="9" width="7.875" style="4" bestFit="1" customWidth="1"/>
    <col min="10" max="10" width="7.625" style="3" bestFit="1" customWidth="1"/>
    <col min="11" max="11" width="15.75390625" style="4" bestFit="1" customWidth="1"/>
    <col min="12" max="16384" width="9.125" style="3" customWidth="1"/>
  </cols>
  <sheetData>
    <row r="1" spans="1:11" s="2" customFormat="1" ht="28.5" customHeight="1">
      <c r="A1" s="54" t="s">
        <v>460</v>
      </c>
      <c r="B1" s="43"/>
      <c r="C1" s="43"/>
      <c r="D1" s="43"/>
      <c r="E1" s="43"/>
      <c r="F1" s="43"/>
      <c r="G1" s="43"/>
      <c r="H1" s="43"/>
      <c r="I1" s="43"/>
      <c r="J1" s="43"/>
      <c r="K1" s="44"/>
    </row>
    <row r="2" spans="1:11" s="2" customFormat="1" ht="61.5" customHeight="1" thickBot="1">
      <c r="A2" s="45"/>
      <c r="B2" s="46"/>
      <c r="C2" s="46"/>
      <c r="D2" s="46"/>
      <c r="E2" s="46"/>
      <c r="F2" s="46"/>
      <c r="G2" s="46"/>
      <c r="H2" s="46"/>
      <c r="I2" s="46"/>
      <c r="J2" s="46"/>
      <c r="K2" s="47"/>
    </row>
    <row r="3" spans="1:11" s="1" customFormat="1" ht="12.75" customHeight="1">
      <c r="A3" s="48" t="s">
        <v>0</v>
      </c>
      <c r="B3" s="50" t="s">
        <v>10</v>
      </c>
      <c r="C3" s="50" t="s">
        <v>11</v>
      </c>
      <c r="D3" s="52" t="s">
        <v>461</v>
      </c>
      <c r="E3" s="52" t="s">
        <v>7</v>
      </c>
      <c r="F3" s="52" t="s">
        <v>12</v>
      </c>
      <c r="G3" s="52" t="s">
        <v>438</v>
      </c>
      <c r="H3" s="52"/>
      <c r="I3" s="52" t="s">
        <v>441</v>
      </c>
      <c r="J3" s="52" t="s">
        <v>6</v>
      </c>
      <c r="K3" s="40" t="s">
        <v>5</v>
      </c>
    </row>
    <row r="4" spans="1:11" s="1" customFormat="1" ht="21" customHeight="1" thickBot="1">
      <c r="A4" s="49"/>
      <c r="B4" s="51"/>
      <c r="C4" s="51"/>
      <c r="D4" s="51"/>
      <c r="E4" s="51"/>
      <c r="F4" s="51"/>
      <c r="G4" s="7" t="s">
        <v>439</v>
      </c>
      <c r="H4" s="28" t="s">
        <v>440</v>
      </c>
      <c r="I4" s="51"/>
      <c r="J4" s="51"/>
      <c r="K4" s="41"/>
    </row>
    <row r="5" spans="1:10" ht="15">
      <c r="A5" s="53" t="s">
        <v>462</v>
      </c>
      <c r="B5" s="53"/>
      <c r="C5" s="53"/>
      <c r="D5" s="53"/>
      <c r="E5" s="53"/>
      <c r="F5" s="53"/>
      <c r="G5" s="53"/>
      <c r="H5" s="53"/>
      <c r="I5" s="53"/>
      <c r="J5" s="53"/>
    </row>
    <row r="6" spans="1:11" ht="12.75">
      <c r="A6" s="19" t="s">
        <v>464</v>
      </c>
      <c r="B6" s="19" t="s">
        <v>465</v>
      </c>
      <c r="C6" s="19" t="s">
        <v>466</v>
      </c>
      <c r="D6" s="19" t="str">
        <f>"1,0000"</f>
        <v>1,0000</v>
      </c>
      <c r="E6" s="19" t="s">
        <v>23</v>
      </c>
      <c r="F6" s="19" t="s">
        <v>74</v>
      </c>
      <c r="G6" s="21" t="s">
        <v>337</v>
      </c>
      <c r="H6" s="31" t="s">
        <v>467</v>
      </c>
      <c r="I6" s="19" t="str">
        <f>"5280,0"</f>
        <v>5280,0</v>
      </c>
      <c r="J6" s="21" t="str">
        <f>"59,1265"</f>
        <v>59,1265</v>
      </c>
      <c r="K6" s="19" t="s">
        <v>468</v>
      </c>
    </row>
    <row r="7" spans="1:11" ht="12.75">
      <c r="A7" s="22" t="s">
        <v>470</v>
      </c>
      <c r="B7" s="22" t="s">
        <v>471</v>
      </c>
      <c r="C7" s="22" t="s">
        <v>472</v>
      </c>
      <c r="D7" s="22" t="str">
        <f>"1,0000"</f>
        <v>1,0000</v>
      </c>
      <c r="E7" s="34" t="s">
        <v>23</v>
      </c>
      <c r="F7" s="22" t="s">
        <v>74</v>
      </c>
      <c r="G7" s="24" t="s">
        <v>337</v>
      </c>
      <c r="H7" s="32" t="s">
        <v>473</v>
      </c>
      <c r="I7" s="22" t="str">
        <f>"2420,0"</f>
        <v>2420,0</v>
      </c>
      <c r="J7" s="24" t="str">
        <f>"26,0775"</f>
        <v>26,0775</v>
      </c>
      <c r="K7" s="22" t="s">
        <v>83</v>
      </c>
    </row>
    <row r="9" spans="5:6" ht="15">
      <c r="E9" s="11" t="s">
        <v>48</v>
      </c>
      <c r="F9" s="35" t="s">
        <v>526</v>
      </c>
    </row>
    <row r="10" spans="5:6" ht="15">
      <c r="E10" s="11" t="s">
        <v>49</v>
      </c>
      <c r="F10" s="35" t="s">
        <v>508</v>
      </c>
    </row>
    <row r="11" spans="5:6" ht="15">
      <c r="E11" s="11" t="s">
        <v>50</v>
      </c>
      <c r="F11" s="35" t="s">
        <v>525</v>
      </c>
    </row>
    <row r="12" spans="5:6" ht="15">
      <c r="E12" s="11" t="s">
        <v>51</v>
      </c>
      <c r="F12" s="35" t="s">
        <v>523</v>
      </c>
    </row>
    <row r="13" ht="15">
      <c r="E13" s="11"/>
    </row>
    <row r="14" ht="15">
      <c r="E14" s="11"/>
    </row>
    <row r="15" ht="15">
      <c r="E15" s="11"/>
    </row>
    <row r="17" spans="1:2" ht="18">
      <c r="A17" s="12" t="s">
        <v>52</v>
      </c>
      <c r="B17" s="12"/>
    </row>
    <row r="18" spans="1:2" ht="15">
      <c r="A18" s="13" t="s">
        <v>63</v>
      </c>
      <c r="B18" s="13"/>
    </row>
    <row r="19" spans="1:2" ht="14.25">
      <c r="A19" s="15"/>
      <c r="B19" s="16" t="s">
        <v>474</v>
      </c>
    </row>
    <row r="20" spans="1:5" ht="15">
      <c r="A20" s="17" t="s">
        <v>55</v>
      </c>
      <c r="B20" s="17" t="s">
        <v>56</v>
      </c>
      <c r="C20" s="17" t="s">
        <v>57</v>
      </c>
      <c r="D20" s="17" t="s">
        <v>58</v>
      </c>
      <c r="E20" s="17" t="s">
        <v>475</v>
      </c>
    </row>
    <row r="21" spans="1:5" ht="12.75">
      <c r="A21" s="14" t="s">
        <v>463</v>
      </c>
      <c r="B21" s="4" t="s">
        <v>474</v>
      </c>
      <c r="C21" s="4" t="s">
        <v>476</v>
      </c>
      <c r="D21" s="4" t="s">
        <v>477</v>
      </c>
      <c r="E21" s="18" t="s">
        <v>478</v>
      </c>
    </row>
    <row r="22" spans="1:5" ht="12.75">
      <c r="A22" s="14" t="s">
        <v>469</v>
      </c>
      <c r="B22" s="4" t="s">
        <v>474</v>
      </c>
      <c r="C22" s="4" t="s">
        <v>476</v>
      </c>
      <c r="D22" s="4" t="s">
        <v>479</v>
      </c>
      <c r="E22" s="18" t="s">
        <v>480</v>
      </c>
    </row>
  </sheetData>
  <sheetProtection/>
  <mergeCells count="12">
    <mergeCell ref="I3:I4"/>
    <mergeCell ref="J3:J4"/>
    <mergeCell ref="K3:K4"/>
    <mergeCell ref="A5:J5"/>
    <mergeCell ref="A1:K2"/>
    <mergeCell ref="A3:A4"/>
    <mergeCell ref="B3:B4"/>
    <mergeCell ref="C3:C4"/>
    <mergeCell ref="D3:D4"/>
    <mergeCell ref="E3:E4"/>
    <mergeCell ref="F3:F4"/>
    <mergeCell ref="G3:H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5:K15"/>
  <sheetViews>
    <sheetView zoomScalePageLayoutView="0" workbookViewId="0" topLeftCell="A1">
      <selection activeCell="E15" sqref="A1:K15"/>
    </sheetView>
  </sheetViews>
  <sheetFormatPr defaultColWidth="9.00390625" defaultRowHeight="12.75"/>
  <cols>
    <col min="1" max="1" width="26.00390625" style="4" bestFit="1" customWidth="1"/>
    <col min="2" max="2" width="26.25390625" style="4" bestFit="1" customWidth="1"/>
    <col min="3" max="3" width="9.75390625" style="4" bestFit="1" customWidth="1"/>
    <col min="4" max="4" width="6.625" style="4" bestFit="1" customWidth="1"/>
    <col min="5" max="5" width="22.75390625" style="4" bestFit="1" customWidth="1"/>
    <col min="6" max="6" width="17.25390625" style="4" bestFit="1" customWidth="1"/>
    <col min="7" max="7" width="2.125" style="3" bestFit="1" customWidth="1"/>
    <col min="8" max="8" width="2.125" style="30" bestFit="1" customWidth="1"/>
    <col min="9" max="9" width="7.875" style="4" bestFit="1" customWidth="1"/>
    <col min="10" max="10" width="6.375" style="3" bestFit="1" customWidth="1"/>
    <col min="11" max="11" width="8.875" style="4" bestFit="1" customWidth="1"/>
    <col min="12" max="16384" width="9.125" style="3" customWidth="1"/>
  </cols>
  <sheetData>
    <row r="1" s="2" customFormat="1" ht="28.5" customHeight="1"/>
    <row r="2" s="2" customFormat="1" ht="61.5" customHeight="1"/>
    <row r="3" s="1" customFormat="1" ht="12.75" customHeight="1"/>
    <row r="4" s="1" customFormat="1" ht="21" customHeight="1"/>
    <row r="5" spans="1:11" ht="12.75">
      <c r="A5" s="3"/>
      <c r="B5" s="3"/>
      <c r="C5" s="3"/>
      <c r="D5" s="3"/>
      <c r="E5" s="3"/>
      <c r="F5" s="3"/>
      <c r="H5" s="3"/>
      <c r="I5" s="3"/>
      <c r="K5" s="3"/>
    </row>
    <row r="6" spans="1:11" ht="12.75">
      <c r="A6" s="3"/>
      <c r="B6" s="3"/>
      <c r="C6" s="3"/>
      <c r="D6" s="3"/>
      <c r="E6" s="3"/>
      <c r="F6" s="3"/>
      <c r="H6" s="3"/>
      <c r="I6" s="3"/>
      <c r="K6" s="3"/>
    </row>
    <row r="7" spans="1:11" ht="12.75">
      <c r="A7" s="3"/>
      <c r="B7" s="3"/>
      <c r="C7" s="3"/>
      <c r="D7" s="3"/>
      <c r="E7" s="3"/>
      <c r="F7" s="3"/>
      <c r="H7" s="3"/>
      <c r="I7" s="3"/>
      <c r="K7" s="3"/>
    </row>
    <row r="8" spans="1:11" ht="12.75">
      <c r="A8" s="3"/>
      <c r="B8" s="3"/>
      <c r="C8" s="3"/>
      <c r="D8" s="3"/>
      <c r="E8" s="3"/>
      <c r="F8" s="3"/>
      <c r="H8" s="3"/>
      <c r="I8" s="3"/>
      <c r="K8" s="3"/>
    </row>
    <row r="9" spans="1:11" ht="12.75">
      <c r="A9" s="3"/>
      <c r="B9" s="3"/>
      <c r="C9" s="3"/>
      <c r="D9" s="3"/>
      <c r="E9" s="3"/>
      <c r="F9" s="3"/>
      <c r="H9" s="3"/>
      <c r="I9" s="3"/>
      <c r="K9" s="3"/>
    </row>
    <row r="10" spans="1:11" ht="12.75">
      <c r="A10" s="3"/>
      <c r="B10" s="3"/>
      <c r="C10" s="3"/>
      <c r="D10" s="3"/>
      <c r="E10" s="3"/>
      <c r="F10" s="3"/>
      <c r="H10" s="3"/>
      <c r="I10" s="3"/>
      <c r="K10" s="3"/>
    </row>
    <row r="11" spans="1:11" ht="12.75">
      <c r="A11" s="3"/>
      <c r="B11" s="3"/>
      <c r="C11" s="3"/>
      <c r="D11" s="3"/>
      <c r="E11" s="3"/>
      <c r="F11" s="3"/>
      <c r="H11" s="3"/>
      <c r="I11" s="3"/>
      <c r="K11" s="3"/>
    </row>
    <row r="12" spans="1:11" ht="12.75">
      <c r="A12" s="3"/>
      <c r="B12" s="3"/>
      <c r="C12" s="3"/>
      <c r="D12" s="3"/>
      <c r="E12" s="3"/>
      <c r="F12" s="3"/>
      <c r="H12" s="3"/>
      <c r="I12" s="3"/>
      <c r="K12" s="3"/>
    </row>
    <row r="13" spans="1:11" ht="12.75">
      <c r="A13" s="3"/>
      <c r="B13" s="3"/>
      <c r="C13" s="3"/>
      <c r="D13" s="3"/>
      <c r="E13" s="3"/>
      <c r="F13" s="3"/>
      <c r="H13" s="3"/>
      <c r="I13" s="3"/>
      <c r="K13" s="3"/>
    </row>
    <row r="14" spans="1:11" ht="12.75">
      <c r="A14" s="3"/>
      <c r="B14" s="3"/>
      <c r="C14" s="3"/>
      <c r="D14" s="3"/>
      <c r="E14" s="3"/>
      <c r="F14" s="3"/>
      <c r="H14" s="3"/>
      <c r="I14" s="3"/>
      <c r="K14" s="3"/>
    </row>
    <row r="15" spans="1:11" ht="12.75">
      <c r="A15" s="3"/>
      <c r="B15" s="3"/>
      <c r="C15" s="3"/>
      <c r="D15" s="3"/>
      <c r="E15" s="3"/>
      <c r="F15" s="3"/>
      <c r="H15" s="3"/>
      <c r="I15" s="3"/>
      <c r="K15" s="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Tomchin</dc:creator>
  <cp:keywords/>
  <dc:description/>
  <cp:lastModifiedBy>Андрей</cp:lastModifiedBy>
  <cp:lastPrinted>2019-05-13T18:53:03Z</cp:lastPrinted>
  <dcterms:created xsi:type="dcterms:W3CDTF">2002-06-16T13:36:44Z</dcterms:created>
  <dcterms:modified xsi:type="dcterms:W3CDTF">2019-05-15T04:36:35Z</dcterms:modified>
  <cp:category/>
  <cp:version/>
  <cp:contentType/>
  <cp:contentStatus/>
</cp:coreProperties>
</file>