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firstSheet="19" activeTab="25"/>
  </bookViews>
  <sheets>
    <sheet name="Лист4" sheetId="1" r:id="rId1"/>
    <sheet name="Проф. народный жим 1_2 вес" sheetId="2" r:id="rId2"/>
    <sheet name="Проф. народный жим 1 вес" sheetId="3" r:id="rId3"/>
    <sheet name="Люб. народный жим 1_2 вес" sheetId="4" r:id="rId4"/>
    <sheet name="Люб. народный жим 1 вес" sheetId="5" r:id="rId5"/>
    <sheet name="Люб. присед б.э." sheetId="6" r:id="rId6"/>
    <sheet name="СОВ присед" sheetId="7" r:id="rId7"/>
    <sheet name="ПРО тяга б.э." sheetId="8" r:id="rId8"/>
    <sheet name="Люб. тяга б.э." sheetId="9" r:id="rId9"/>
    <sheet name="СОВ тяга" sheetId="10" r:id="rId10"/>
    <sheet name="ПРО жим софт мн.петельная" sheetId="11" r:id="rId11"/>
    <sheet name="Люб. жим жим софт мн.петельная" sheetId="12" r:id="rId12"/>
    <sheet name="ПРО жим софт 1 петельная" sheetId="13" r:id="rId13"/>
    <sheet name="ПРО жим б.э." sheetId="14" r:id="rId14"/>
    <sheet name="СОВ жим" sheetId="15" r:id="rId15"/>
    <sheet name="Люб. жим б.э." sheetId="16" r:id="rId16"/>
    <sheet name="Люб. ПЛ. б.э." sheetId="17" r:id="rId17"/>
    <sheet name="Люб. ПЛ. 1.петельная софт" sheetId="18" r:id="rId18"/>
    <sheet name="ПРО ПЛ. 1.петельная софт" sheetId="19" r:id="rId19"/>
    <sheet name="СОВ ПЛ." sheetId="20" r:id="rId20"/>
    <sheet name="Бицепс Профессионалы" sheetId="21" r:id="rId21"/>
    <sheet name="Бицепс Любители" sheetId="22" r:id="rId22"/>
    <sheet name="Жим стоя Профессионалы" sheetId="23" r:id="rId23"/>
    <sheet name="РЖ любители 55 кг." sheetId="24" r:id="rId24"/>
    <sheet name="РЖ Проф 100 кг." sheetId="25" r:id="rId25"/>
    <sheet name="РЖ Проф 55 кг." sheetId="26" r:id="rId26"/>
  </sheets>
  <definedNames/>
  <calcPr fullCalcOnLoad="1" refMode="R1C1"/>
</workbook>
</file>

<file path=xl/sharedStrings.xml><?xml version="1.0" encoding="utf-8"?>
<sst xmlns="http://schemas.openxmlformats.org/spreadsheetml/2006/main" count="2382" uniqueCount="620">
  <si>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</si>
  <si>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</si>
  <si>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</si>
  <si>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</si>
  <si>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</si>
  <si>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</si>
  <si>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</si>
  <si>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</si>
  <si>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</si>
  <si>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Коэф</t>
  </si>
  <si>
    <t>Возрастная группа
Дата рождения/Возраст</t>
  </si>
  <si>
    <t>Собственный 
Вес</t>
  </si>
  <si>
    <t>Город/Область</t>
  </si>
  <si>
    <t>Открытый Чемпионат Самарской области по силовым видам спорта "Волжский Богатырь"
Любители народный жим (1 вес)
Самара/Самарская область 18 - 20 октября 2019 г.</t>
  </si>
  <si>
    <t>НАП Н.Ж.</t>
  </si>
  <si>
    <t>Народный жим</t>
  </si>
  <si>
    <t>ВЕСОВАЯ КАТЕГОРИЯ   82.5</t>
  </si>
  <si>
    <t>Курманаев Дмитрий</t>
  </si>
  <si>
    <t>1. Курманаев Дмитрий</t>
  </si>
  <si>
    <t>Открытая (05.07.1985)/34</t>
  </si>
  <si>
    <t>79,80</t>
  </si>
  <si>
    <t xml:space="preserve">Куйбышевский НПЗ </t>
  </si>
  <si>
    <t xml:space="preserve">Самара/Самарская область </t>
  </si>
  <si>
    <t>80,0</t>
  </si>
  <si>
    <t>24,0</t>
  </si>
  <si>
    <t xml:space="preserve">Чичкин Сергей </t>
  </si>
  <si>
    <t>ВЕСОВАЯ КАТЕГОРИЯ   90</t>
  </si>
  <si>
    <t>Вашурин Евгений</t>
  </si>
  <si>
    <t>1. Вашурин Евгений</t>
  </si>
  <si>
    <t>Открытая (03.03.1980)/39</t>
  </si>
  <si>
    <t>88,80</t>
  </si>
  <si>
    <t>90,0</t>
  </si>
  <si>
    <t>25,0</t>
  </si>
  <si>
    <t xml:space="preserve">Самостоятельно 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</si>
  <si>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</si>
  <si>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</si>
  <si>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</si>
  <si>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</si>
  <si>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</si>
  <si>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</si>
  <si>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</si>
  <si>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</si>
  <si>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</si>
  <si>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</si>
  <si>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</si>
  <si>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</si>
  <si>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НАП Н.Ж. </t>
  </si>
  <si>
    <t>90</t>
  </si>
  <si>
    <t>2250,0</t>
  </si>
  <si>
    <t>1627,6500</t>
  </si>
  <si>
    <t>82.5</t>
  </si>
  <si>
    <t>1920,0</t>
  </si>
  <si>
    <t>1501,4400</t>
  </si>
  <si>
    <t>Вес</t>
  </si>
  <si>
    <t>Повторы</t>
  </si>
  <si>
    <t>Тоннаж</t>
  </si>
  <si>
    <t>Открытый Чемпионат Самарской области по силовым видам спорта "Волжский Богатырь"
Любители народный жим (1/2 вес)
Самара/Самарская область 18 - 20 октября 2019 г.</t>
  </si>
  <si>
    <t>ВЕСОВАЯ КАТЕГОРИЯ   52</t>
  </si>
  <si>
    <t>Кожуховская Ирина</t>
  </si>
  <si>
    <t>1. Кожуховская Ирина</t>
  </si>
  <si>
    <t>Открытая (05.07.1986)/33</t>
  </si>
  <si>
    <t>50,50</t>
  </si>
  <si>
    <t xml:space="preserve">Самсон </t>
  </si>
  <si>
    <t>27,5</t>
  </si>
  <si>
    <t>38,0</t>
  </si>
  <si>
    <t xml:space="preserve">Гусев Андрей Юрьевич </t>
  </si>
  <si>
    <t>ВЕСОВАЯ КАТЕГОРИЯ   56</t>
  </si>
  <si>
    <t>Ефремова Елена</t>
  </si>
  <si>
    <t>1. Ефремова Елена</t>
  </si>
  <si>
    <t>Открытая (01.04.1987)/32</t>
  </si>
  <si>
    <t>53,50</t>
  </si>
  <si>
    <t>34,0</t>
  </si>
  <si>
    <t xml:space="preserve">Женщины </t>
  </si>
  <si>
    <t>52</t>
  </si>
  <si>
    <t>1045,0</t>
  </si>
  <si>
    <t>1006,3350</t>
  </si>
  <si>
    <t>56</t>
  </si>
  <si>
    <t>935,0</t>
  </si>
  <si>
    <t>897,1325</t>
  </si>
  <si>
    <t>Открытый Чемпионат Самарской области по силовым видам спорта "Волжский Богатырь"
Профессионалы народный жим (1 вес)
Самара/Самарская область 18 - 20 октября 2019 г.</t>
  </si>
  <si>
    <t>ВЕСОВАЯ КАТЕГОРИЯ   75</t>
  </si>
  <si>
    <t>Чичкин Сергей</t>
  </si>
  <si>
    <t>1. Чичкин Сергей</t>
  </si>
  <si>
    <t>Открытая (15.07.1992)/27</t>
  </si>
  <si>
    <t>70,90</t>
  </si>
  <si>
    <t>72,5</t>
  </si>
  <si>
    <t>Малахов Сергей</t>
  </si>
  <si>
    <t>1. Малахов Сергей</t>
  </si>
  <si>
    <t>Открытая (20.08.1991)/28</t>
  </si>
  <si>
    <t>78,70</t>
  </si>
  <si>
    <t xml:space="preserve">лично </t>
  </si>
  <si>
    <t xml:space="preserve">Черноречье/Самарская область </t>
  </si>
  <si>
    <t>36,0</t>
  </si>
  <si>
    <t xml:space="preserve"> </t>
  </si>
  <si>
    <t>Горячий Алексей</t>
  </si>
  <si>
    <t>2. Горячий Алексей</t>
  </si>
  <si>
    <t>Открытая (14.10.1994)/25</t>
  </si>
  <si>
    <t>82,40</t>
  </si>
  <si>
    <t>82,5</t>
  </si>
  <si>
    <t>26,0</t>
  </si>
  <si>
    <t>2880,0</t>
  </si>
  <si>
    <t>2283,5521</t>
  </si>
  <si>
    <t>75</t>
  </si>
  <si>
    <t>2465,0</t>
  </si>
  <si>
    <t>2052,1125</t>
  </si>
  <si>
    <t>2145,0</t>
  </si>
  <si>
    <t>1624,4085</t>
  </si>
  <si>
    <t>Открытый Чемпионат Самарской области по силовым видам спорта "Волжский Богатырь"
Профессионалы народный жим (1/2 вес)
Самара/Самарская область 18 - 20 октября 2019 г.</t>
  </si>
  <si>
    <t>Дубов Алексей</t>
  </si>
  <si>
    <t>1. Дубов Алексей</t>
  </si>
  <si>
    <t>Мастера 55 - 59 (18.04.1963)/56</t>
  </si>
  <si>
    <t>89,60</t>
  </si>
  <si>
    <t xml:space="preserve">Челно-Вершины/Самарская область </t>
  </si>
  <si>
    <t>45,0</t>
  </si>
  <si>
    <t>35,0</t>
  </si>
  <si>
    <t xml:space="preserve">Балашов Владимир </t>
  </si>
  <si>
    <t xml:space="preserve">Мастера </t>
  </si>
  <si>
    <t xml:space="preserve">Мастера 55 - 59 </t>
  </si>
  <si>
    <t>1575,0</t>
  </si>
  <si>
    <t>1129,1175</t>
  </si>
  <si>
    <t>Балашов В.В</t>
  </si>
  <si>
    <t>Ахметова С.С</t>
  </si>
  <si>
    <t>Блинков В.В</t>
  </si>
  <si>
    <t>Балашов В.А</t>
  </si>
  <si>
    <t>Толпегин И.А</t>
  </si>
  <si>
    <t>74,7000</t>
  </si>
  <si>
    <t>75,0</t>
  </si>
  <si>
    <t>Симендеева Алина</t>
  </si>
  <si>
    <t xml:space="preserve">Shv/Mel </t>
  </si>
  <si>
    <t>70,0</t>
  </si>
  <si>
    <t>50,30</t>
  </si>
  <si>
    <t>Открытая (27.11.1994)/24</t>
  </si>
  <si>
    <t>1. Симендеева Алина</t>
  </si>
  <si>
    <t>Результат</t>
  </si>
  <si>
    <t>Приседание</t>
  </si>
  <si>
    <t>Shv/Mel</t>
  </si>
  <si>
    <t>Открытый Чемпионат Самарской области по силовым видам спорта "Волжский Богатырь"
Любители присед без экипировки
Самара/Самарская область 18 - 20 октября 2019 г.</t>
  </si>
  <si>
    <t>136,3809</t>
  </si>
  <si>
    <t>162,5</t>
  </si>
  <si>
    <t>155,0</t>
  </si>
  <si>
    <t>142,5</t>
  </si>
  <si>
    <t>Открытый Чемпионат Самарской области по силовым видам спорта "Волжский Богатырь"
СОВ присед
Самара/Самарская область 18 - 20 октября 2019 г.</t>
  </si>
  <si>
    <t>141,8972</t>
  </si>
  <si>
    <t>280,0</t>
  </si>
  <si>
    <t>140</t>
  </si>
  <si>
    <t xml:space="preserve">Мастера 40 - 44 </t>
  </si>
  <si>
    <t>Демьянчук Юрий</t>
  </si>
  <si>
    <t>300,0</t>
  </si>
  <si>
    <t>250,0</t>
  </si>
  <si>
    <t xml:space="preserve">Сызрань/Самарская область </t>
  </si>
  <si>
    <t xml:space="preserve">Hardcore </t>
  </si>
  <si>
    <t>138,40</t>
  </si>
  <si>
    <t>Мастера 40 - 44 (03.10.1978)/41</t>
  </si>
  <si>
    <t>1. Демьянчук Юрий</t>
  </si>
  <si>
    <t>ВЕСОВАЯ КАТЕГОРИЯ   140</t>
  </si>
  <si>
    <t>Становая тяга</t>
  </si>
  <si>
    <t>Открытый Чемпионат Самарской области по силовым видам спорта "Волжский Богатырь"
ПРО становая тяга без экипировки
Самара/Самарская область 18 - 20 октября 2019 г.</t>
  </si>
  <si>
    <t>143,0306</t>
  </si>
  <si>
    <t>255,0</t>
  </si>
  <si>
    <t>125</t>
  </si>
  <si>
    <t xml:space="preserve">Мастера 45 - 49 </t>
  </si>
  <si>
    <t>Гусев Андрей</t>
  </si>
  <si>
    <t>150,7001</t>
  </si>
  <si>
    <t>117,5</t>
  </si>
  <si>
    <t xml:space="preserve">Мастера 65 - 69 </t>
  </si>
  <si>
    <t>Губанов Александр</t>
  </si>
  <si>
    <t>113,2030</t>
  </si>
  <si>
    <t>170,0</t>
  </si>
  <si>
    <t>Халилов Сергей</t>
  </si>
  <si>
    <t>142,5832</t>
  </si>
  <si>
    <t>205,0</t>
  </si>
  <si>
    <t>88,2664</t>
  </si>
  <si>
    <t xml:space="preserve">Юноши 14-15 </t>
  </si>
  <si>
    <t>Елистратов Александр</t>
  </si>
  <si>
    <t>122,3696</t>
  </si>
  <si>
    <t>225,0</t>
  </si>
  <si>
    <t xml:space="preserve">Юноши 18 - 19 </t>
  </si>
  <si>
    <t>Носанов Дмитрий</t>
  </si>
  <si>
    <t xml:space="preserve">Юноши </t>
  </si>
  <si>
    <t>113,3327</t>
  </si>
  <si>
    <t>125,0</t>
  </si>
  <si>
    <t>60</t>
  </si>
  <si>
    <t>Егорова Ольга</t>
  </si>
  <si>
    <t>88,9845</t>
  </si>
  <si>
    <t>110,0</t>
  </si>
  <si>
    <t>67.5</t>
  </si>
  <si>
    <t>Батейщикова Мария</t>
  </si>
  <si>
    <t>107,0700</t>
  </si>
  <si>
    <t>107,5</t>
  </si>
  <si>
    <t>200,0</t>
  </si>
  <si>
    <t>131,60</t>
  </si>
  <si>
    <t>Юноши 18 - 19 (19.11.2000)/18</t>
  </si>
  <si>
    <t>1. Носанов Дмитрий</t>
  </si>
  <si>
    <t xml:space="preserve">Арусланов Шамиль </t>
  </si>
  <si>
    <t>122,20</t>
  </si>
  <si>
    <t>Мастера 45 - 49 (25.03.1973)/46</t>
  </si>
  <si>
    <t>1. Гусев Андрей</t>
  </si>
  <si>
    <t>ВЕСОВАЯ КАТЕГОРИЯ   125</t>
  </si>
  <si>
    <t>80,20</t>
  </si>
  <si>
    <t>Мастера 65 - 69 (06.02.1951)/68</t>
  </si>
  <si>
    <t>1. Губанов Александр</t>
  </si>
  <si>
    <t>157,5</t>
  </si>
  <si>
    <t>74,80</t>
  </si>
  <si>
    <t>Открытая (25.01.1989)/30</t>
  </si>
  <si>
    <t>2. Халилов Сергей</t>
  </si>
  <si>
    <t>210,0</t>
  </si>
  <si>
    <t>180,0</t>
  </si>
  <si>
    <t xml:space="preserve">Егорова Ольга </t>
  </si>
  <si>
    <t>65,0</t>
  </si>
  <si>
    <t>60,0</t>
  </si>
  <si>
    <t xml:space="preserve">Новокуйбышевск/Самарская область </t>
  </si>
  <si>
    <t>47,20</t>
  </si>
  <si>
    <t>Юноши 14-15 (03.12.2003)/15</t>
  </si>
  <si>
    <t>1. Елистратов Александр</t>
  </si>
  <si>
    <t>100,0</t>
  </si>
  <si>
    <t>64,60</t>
  </si>
  <si>
    <t>Открытая (04.03.1987)/32</t>
  </si>
  <si>
    <t>1. Батейщикова Мария</t>
  </si>
  <si>
    <t>ВЕСОВАЯ КАТЕГОРИЯ   67.5</t>
  </si>
  <si>
    <t>115,0</t>
  </si>
  <si>
    <t>105,0</t>
  </si>
  <si>
    <t xml:space="preserve">Strong People </t>
  </si>
  <si>
    <t>58,50</t>
  </si>
  <si>
    <t>Мастера 40 - 44 (14.03.1975)/44</t>
  </si>
  <si>
    <t>1. Егорова Ольга</t>
  </si>
  <si>
    <t>ВЕСОВАЯ КАТЕГОРИЯ   60</t>
  </si>
  <si>
    <t>102,5</t>
  </si>
  <si>
    <t>95,0</t>
  </si>
  <si>
    <t>Открытый Чемпионат Самарской области по силовым видам спорта "Волжский Богатырь"
Любители становая тяга без экипировки
Самара/Самарская область 18 - 20 октября 2019 г.</t>
  </si>
  <si>
    <t>151,0681</t>
  </si>
  <si>
    <t>187,5</t>
  </si>
  <si>
    <t>165,0</t>
  </si>
  <si>
    <t>Открытый Чемпионат Самарской области по силовым видам спорта "Волжский Богатырь"
СОВ становая тяга
Самара/Самарская область 18 - 20 октября 2019 г.</t>
  </si>
  <si>
    <t>136,8295</t>
  </si>
  <si>
    <t>270,0</t>
  </si>
  <si>
    <t>166,2255</t>
  </si>
  <si>
    <t>315,0</t>
  </si>
  <si>
    <t>Карякин Евгений</t>
  </si>
  <si>
    <t>310,0</t>
  </si>
  <si>
    <t>275,0</t>
  </si>
  <si>
    <t xml:space="preserve">Оренбург/Оренбургская область </t>
  </si>
  <si>
    <t>119,20</t>
  </si>
  <si>
    <t>Мастера 40 - 44 (17.01.1979)/40</t>
  </si>
  <si>
    <t>1. Карякин Евгений</t>
  </si>
  <si>
    <t>Жим лёжа</t>
  </si>
  <si>
    <t>Открытый Чемпионат Самарской области по силовым видам спорта "Волжский Богатырь"
ПРО жим лежа в Софт экипировка многопетельная
Самара/Самарская область 18 - 20 октября 2019 г.</t>
  </si>
  <si>
    <t>132,1503</t>
  </si>
  <si>
    <t>190,0</t>
  </si>
  <si>
    <t xml:space="preserve">Халилов Гасан </t>
  </si>
  <si>
    <t>230,0</t>
  </si>
  <si>
    <t xml:space="preserve">Ульяновск/Ульяновская область </t>
  </si>
  <si>
    <t>93,00</t>
  </si>
  <si>
    <t>Открытая (18.11.1989)/29</t>
  </si>
  <si>
    <t>-. Чадаев Александр</t>
  </si>
  <si>
    <t>ВЕСОВАЯ КАТЕГОРИЯ   100</t>
  </si>
  <si>
    <t>Открытый Чемпионат Самарской области по силовым видам спорта "Волжский Богатырь"
Любители жим лежа в Софт экипировка многопетельная
Самара/Самарская область 18 - 20 октября 2019 г.</t>
  </si>
  <si>
    <t>153,7380</t>
  </si>
  <si>
    <t>100</t>
  </si>
  <si>
    <t>Смородин Михаил</t>
  </si>
  <si>
    <t>85,1483</t>
  </si>
  <si>
    <t>Чернева Марина</t>
  </si>
  <si>
    <t xml:space="preserve">Филатов </t>
  </si>
  <si>
    <t>260,0</t>
  </si>
  <si>
    <t>94,50</t>
  </si>
  <si>
    <t>Открытая (13.07.1980)/39</t>
  </si>
  <si>
    <t>1. Смородин Михаил</t>
  </si>
  <si>
    <t xml:space="preserve">Димитровград/Ульяновская область </t>
  </si>
  <si>
    <t>74,40</t>
  </si>
  <si>
    <t>Мастера 45 - 49 (27.09.1970)/49</t>
  </si>
  <si>
    <t>1. Чернева Марина</t>
  </si>
  <si>
    <t>Открытый Чемпионат Самарской области по силовым видам спорта "Волжский Богатырь"
ПРО жим лежа Софт экипировка однопетельная
Самара/Самарская область 18 - 20 октября 2019 г.</t>
  </si>
  <si>
    <t>58,1270</t>
  </si>
  <si>
    <t>92,5</t>
  </si>
  <si>
    <t xml:space="preserve">Мастера 80+ </t>
  </si>
  <si>
    <t>Ковалев Анатолий</t>
  </si>
  <si>
    <t>68,1427</t>
  </si>
  <si>
    <t>97,5</t>
  </si>
  <si>
    <t>Островский Денис</t>
  </si>
  <si>
    <t>78,5505</t>
  </si>
  <si>
    <t>Ефанов Илья</t>
  </si>
  <si>
    <t>84,1260</t>
  </si>
  <si>
    <t>140,0</t>
  </si>
  <si>
    <t>Шмыров Максим</t>
  </si>
  <si>
    <t>86,7720</t>
  </si>
  <si>
    <t>99,6965</t>
  </si>
  <si>
    <t>185,0</t>
  </si>
  <si>
    <t>110</t>
  </si>
  <si>
    <t>Железников Денис</t>
  </si>
  <si>
    <t>106,2360</t>
  </si>
  <si>
    <t>195,0</t>
  </si>
  <si>
    <t>Бажутов Дмитрий</t>
  </si>
  <si>
    <t>116,7270</t>
  </si>
  <si>
    <t>68,5340</t>
  </si>
  <si>
    <t>Дубов А.П</t>
  </si>
  <si>
    <t>175,0</t>
  </si>
  <si>
    <t>108,10</t>
  </si>
  <si>
    <t>Открытая (30.08.1983)/36</t>
  </si>
  <si>
    <t>2. Железников Денис</t>
  </si>
  <si>
    <t>104,40</t>
  </si>
  <si>
    <t>Открытая (25.04.1994)/25</t>
  </si>
  <si>
    <t>1. Бажутов Дмитрий</t>
  </si>
  <si>
    <t>ВЕСОВАЯ КАТЕГОРИЯ   110</t>
  </si>
  <si>
    <t>145,0</t>
  </si>
  <si>
    <t>86,30</t>
  </si>
  <si>
    <t>Открытая (07.11.1988)/30</t>
  </si>
  <si>
    <t>1. Шмыров Максим</t>
  </si>
  <si>
    <t xml:space="preserve">Ахмедов Руслан </t>
  </si>
  <si>
    <t>87,5</t>
  </si>
  <si>
    <t>80,80</t>
  </si>
  <si>
    <t>Мастера 80+ (11.08.1936)/83</t>
  </si>
  <si>
    <t>1. Ковалев Анатолий</t>
  </si>
  <si>
    <t>150,0</t>
  </si>
  <si>
    <t>1. Горячий Алексей</t>
  </si>
  <si>
    <t xml:space="preserve">Образцов Сергей </t>
  </si>
  <si>
    <t>70,50</t>
  </si>
  <si>
    <t>Открытая (03.07.1993)/26</t>
  </si>
  <si>
    <t>1. Островский Денис</t>
  </si>
  <si>
    <t>65,30</t>
  </si>
  <si>
    <t>Открытая (12.01.1985)/34</t>
  </si>
  <si>
    <t>1. Ефанов Илья</t>
  </si>
  <si>
    <t>77,5</t>
  </si>
  <si>
    <t>Открытый Чемпионат Самарской области по силовым видам спорта "Волжский Богатырь"
ПРО жим лежа без экипировки
Самара/Самарская область 18 - 20 октября 2019 г.</t>
  </si>
  <si>
    <t>87,2450</t>
  </si>
  <si>
    <t>Есин Иван</t>
  </si>
  <si>
    <t>96,0640</t>
  </si>
  <si>
    <t xml:space="preserve">Мастера 50 - 54 </t>
  </si>
  <si>
    <t>Михин Михаил</t>
  </si>
  <si>
    <t>98,1582</t>
  </si>
  <si>
    <t>115,4299</t>
  </si>
  <si>
    <t>75,2500</t>
  </si>
  <si>
    <t>Райш Игорь</t>
  </si>
  <si>
    <t>82,1190</t>
  </si>
  <si>
    <t>Богданов Алексей</t>
  </si>
  <si>
    <t>82,3550</t>
  </si>
  <si>
    <t>130,0</t>
  </si>
  <si>
    <t>Князев Андрей</t>
  </si>
  <si>
    <t>82,4330</t>
  </si>
  <si>
    <t>82,9845</t>
  </si>
  <si>
    <t>135,0</t>
  </si>
  <si>
    <t>Пресняков Андрей</t>
  </si>
  <si>
    <t>85,5645</t>
  </si>
  <si>
    <t>92,0370</t>
  </si>
  <si>
    <t>Бобкин Иван</t>
  </si>
  <si>
    <t>93,1643</t>
  </si>
  <si>
    <t>127,5</t>
  </si>
  <si>
    <t>Скрипачев Владимир</t>
  </si>
  <si>
    <t>103,6425</t>
  </si>
  <si>
    <t>Адамов Владимир</t>
  </si>
  <si>
    <t>103,8450</t>
  </si>
  <si>
    <t>Гугняков Александр</t>
  </si>
  <si>
    <t xml:space="preserve">Юниоры 20 - 23 </t>
  </si>
  <si>
    <t xml:space="preserve">Юниоры </t>
  </si>
  <si>
    <t>32,0864</t>
  </si>
  <si>
    <t xml:space="preserve">Юноши 0-13 </t>
  </si>
  <si>
    <t>Зайков Иван</t>
  </si>
  <si>
    <t>44,9845</t>
  </si>
  <si>
    <t>Ненашев Сергей</t>
  </si>
  <si>
    <t>51,2760</t>
  </si>
  <si>
    <t>57,5</t>
  </si>
  <si>
    <t xml:space="preserve">Юноши 16 - 17 </t>
  </si>
  <si>
    <t>Зубченко Сергей</t>
  </si>
  <si>
    <t>65,1080</t>
  </si>
  <si>
    <t>Сундуков Даниил</t>
  </si>
  <si>
    <t>76,7588</t>
  </si>
  <si>
    <t>Мусифуллин Кирилл</t>
  </si>
  <si>
    <t>87,1781</t>
  </si>
  <si>
    <t>Сачков Илья</t>
  </si>
  <si>
    <t>89,7377</t>
  </si>
  <si>
    <t>56,6663</t>
  </si>
  <si>
    <t>62,5</t>
  </si>
  <si>
    <t>44,9801</t>
  </si>
  <si>
    <t>47,5</t>
  </si>
  <si>
    <t>49,4000</t>
  </si>
  <si>
    <t>50,0</t>
  </si>
  <si>
    <t>Панина Людмила</t>
  </si>
  <si>
    <t>54,5985</t>
  </si>
  <si>
    <t>55,0</t>
  </si>
  <si>
    <t>116,80</t>
  </si>
  <si>
    <t>Открытая (25.07.1981)/38</t>
  </si>
  <si>
    <t>2. Богданов Алексей</t>
  </si>
  <si>
    <t>114,90</t>
  </si>
  <si>
    <t>Открытая (25.04.1986)/33</t>
  </si>
  <si>
    <t>1. Адамов Владимир</t>
  </si>
  <si>
    <t xml:space="preserve">Верещагина С.В. </t>
  </si>
  <si>
    <t>147,5</t>
  </si>
  <si>
    <t>109,20</t>
  </si>
  <si>
    <t>Открытая (21.08.1983)/36</t>
  </si>
  <si>
    <t>1. Райш Игорь</t>
  </si>
  <si>
    <t>137,5</t>
  </si>
  <si>
    <t>96,00</t>
  </si>
  <si>
    <t>Мастера 50 - 54 (21.07.1969)/50</t>
  </si>
  <si>
    <t>1. Михин Михаил</t>
  </si>
  <si>
    <t>97,00</t>
  </si>
  <si>
    <t>Мастера 40 - 44 (19.01.1976)/43</t>
  </si>
  <si>
    <t>-. Ефименко Владислав</t>
  </si>
  <si>
    <t>160,0</t>
  </si>
  <si>
    <t>98,50</t>
  </si>
  <si>
    <t>Открытая (27.02.1996)/23</t>
  </si>
  <si>
    <t>1. Бобкин Иван</t>
  </si>
  <si>
    <t>Юниоры 20 - 23 (27.02.1996)/23</t>
  </si>
  <si>
    <t>40,0</t>
  </si>
  <si>
    <t>91,50</t>
  </si>
  <si>
    <t>Юноши 0-13 (19.10.2006)/13</t>
  </si>
  <si>
    <t>1. Зайков Иван</t>
  </si>
  <si>
    <t>83,40</t>
  </si>
  <si>
    <t>Открытая (19.01.1987)/32</t>
  </si>
  <si>
    <t>2. Пресняков Андрей</t>
  </si>
  <si>
    <t>89,70</t>
  </si>
  <si>
    <t>Юноши 14-15 (04.03.2004)/15</t>
  </si>
  <si>
    <t>2. Ненашев Сергей</t>
  </si>
  <si>
    <t>85,0</t>
  </si>
  <si>
    <t>87,30</t>
  </si>
  <si>
    <t>Юноши 14-15 (23.01.2004)/15</t>
  </si>
  <si>
    <t>1. Сундуков Даниил</t>
  </si>
  <si>
    <t>79,90</t>
  </si>
  <si>
    <t>Открытая (10.03.1982)/37</t>
  </si>
  <si>
    <t>2. Князев Андрей</t>
  </si>
  <si>
    <t xml:space="preserve">Койчев Виктор </t>
  </si>
  <si>
    <t>70,80</t>
  </si>
  <si>
    <t>Мастера 80+ (25.12.1938)/80</t>
  </si>
  <si>
    <t>1. Есин Иван</t>
  </si>
  <si>
    <t>71,30</t>
  </si>
  <si>
    <t>Открытая (17.05.1974)/45</t>
  </si>
  <si>
    <t>1. Гугняков Александр</t>
  </si>
  <si>
    <t>132,5</t>
  </si>
  <si>
    <t>120,0</t>
  </si>
  <si>
    <t>67,00</t>
  </si>
  <si>
    <t>Открытая (03.02.1994)/25</t>
  </si>
  <si>
    <t>1. Скрипачев Владимир</t>
  </si>
  <si>
    <t>60,60</t>
  </si>
  <si>
    <t>Юноши 18 - 19 (02.08.2001)/18</t>
  </si>
  <si>
    <t>1. Мусифуллин Кирилл</t>
  </si>
  <si>
    <t>59,10</t>
  </si>
  <si>
    <t>Юноши 16 - 17 (22.09.2002)/17</t>
  </si>
  <si>
    <t>1. Зубченко Сергей</t>
  </si>
  <si>
    <t>55,60</t>
  </si>
  <si>
    <t>Юноши 16 - 17 (04.11.2002)/16</t>
  </si>
  <si>
    <t>1. Сачков Илья</t>
  </si>
  <si>
    <t>67,5</t>
  </si>
  <si>
    <t xml:space="preserve">Шмыров Максим </t>
  </si>
  <si>
    <t>52,5</t>
  </si>
  <si>
    <t>50,80</t>
  </si>
  <si>
    <t>Открытая (24.06.1987)/32</t>
  </si>
  <si>
    <t>2. Панина Людмила</t>
  </si>
  <si>
    <t>Открытый Чемпионат Самарской области по силовым видам спорта "Волжский Богатырь"
Любители жим лежа без экипировки
Самара/Самарская область 18 - 20 октября 2019 г.</t>
  </si>
  <si>
    <t>78,0920</t>
  </si>
  <si>
    <t>Буряшкин Николай</t>
  </si>
  <si>
    <t>Открытая (14.03.1982)/37</t>
  </si>
  <si>
    <t>1. Буряшкин Николай</t>
  </si>
  <si>
    <t>Открытый Чемпионат Самарской области по силовым видам спорта "Волжский Богатырь"
СОВ жим лежа
Самара/Самарская область 18 - 20 октября 2019 г.</t>
  </si>
  <si>
    <t>474,2692</t>
  </si>
  <si>
    <t>427,5</t>
  </si>
  <si>
    <t>Зайцев Владимир</t>
  </si>
  <si>
    <t>219,7703</t>
  </si>
  <si>
    <t>295,0</t>
  </si>
  <si>
    <t>Касимов Илья</t>
  </si>
  <si>
    <t>232,2771</t>
  </si>
  <si>
    <t>330,0</t>
  </si>
  <si>
    <t>245,8191</t>
  </si>
  <si>
    <t>Алексеев Максим</t>
  </si>
  <si>
    <t>250,3020</t>
  </si>
  <si>
    <t>370,0</t>
  </si>
  <si>
    <t>Синельников Алексей</t>
  </si>
  <si>
    <t>262,3624</t>
  </si>
  <si>
    <t>Нуйкин Семен</t>
  </si>
  <si>
    <t>268,0560</t>
  </si>
  <si>
    <t>430,0</t>
  </si>
  <si>
    <t>Зарипов Рафаиль</t>
  </si>
  <si>
    <t>178,3449</t>
  </si>
  <si>
    <t>222,5</t>
  </si>
  <si>
    <t>Якимова Валентина</t>
  </si>
  <si>
    <t>201,3180</t>
  </si>
  <si>
    <t>217,5</t>
  </si>
  <si>
    <t>Девяткина Татьяна</t>
  </si>
  <si>
    <t>106,20</t>
  </si>
  <si>
    <t>Мастера 65 - 69 (02.11.1949)/69</t>
  </si>
  <si>
    <t>1. Зайцев Владимир</t>
  </si>
  <si>
    <t>89,00</t>
  </si>
  <si>
    <t>Открытая (21.08.1995)/24</t>
  </si>
  <si>
    <t>-. Щербинин Михаил</t>
  </si>
  <si>
    <t>89,30</t>
  </si>
  <si>
    <t>Юноши 18 - 19 (16.04.2001)/18</t>
  </si>
  <si>
    <t>1. Зарипов Рафаиль</t>
  </si>
  <si>
    <t>122,5</t>
  </si>
  <si>
    <t>79,10</t>
  </si>
  <si>
    <t>Юноши 18 - 19 (22.06.2001)/18</t>
  </si>
  <si>
    <t>1. Синельников Алексей</t>
  </si>
  <si>
    <t>71,60</t>
  </si>
  <si>
    <t>Юноши 16 - 17 (30.07.2002)/17</t>
  </si>
  <si>
    <t>2. Касимов Илья</t>
  </si>
  <si>
    <t>71,50</t>
  </si>
  <si>
    <t>Юноши 16 - 17 (18.01.2003)/16</t>
  </si>
  <si>
    <t>1. Алексеев Максим</t>
  </si>
  <si>
    <t>51,30</t>
  </si>
  <si>
    <t>Юноши 14-15 (20.04.2004)/15</t>
  </si>
  <si>
    <t>1. Нуйкин Семен</t>
  </si>
  <si>
    <t>42,5</t>
  </si>
  <si>
    <t>Мастера 40 - 44 (08.05.1979)/40</t>
  </si>
  <si>
    <t>1. Якимова Валентина</t>
  </si>
  <si>
    <t>55,00</t>
  </si>
  <si>
    <t>Открытая (25.07.1982)/37</t>
  </si>
  <si>
    <t>1. Девяткина Татьяна</t>
  </si>
  <si>
    <t>Открытый Чемпионат Самарской области по силовым видам спорта "Волжский Богатырь"
Любители пауэрлифтинг без экипировки
Самара/Самарская область 18 - 20 октября 2019 г.</t>
  </si>
  <si>
    <t>259,3124</t>
  </si>
  <si>
    <t>400,0</t>
  </si>
  <si>
    <t>Ширяев Александр</t>
  </si>
  <si>
    <t xml:space="preserve">Гусейнов Игорь </t>
  </si>
  <si>
    <t>93,20</t>
  </si>
  <si>
    <t>Юноши 16 - 17 (02.01.2003)/16</t>
  </si>
  <si>
    <t>1. Ширяев Александр</t>
  </si>
  <si>
    <t>Открытый Чемпионат Самарской области по силовым видам спорта "Волжский Богатырь"
Любители пауэрлифтинг в  софт экипировке "Стандарт"
Самара/Самарская область 18 - 20 октября 2019 г.</t>
  </si>
  <si>
    <t>368,6670</t>
  </si>
  <si>
    <t>685,0</t>
  </si>
  <si>
    <t>Теплов Денис</t>
  </si>
  <si>
    <t xml:space="preserve">Аверьянов Владислав </t>
  </si>
  <si>
    <t>240,0</t>
  </si>
  <si>
    <t>220,0</t>
  </si>
  <si>
    <t>108,60</t>
  </si>
  <si>
    <t>Открытая (21.12.1993)/25</t>
  </si>
  <si>
    <t>1. Теплов Денис</t>
  </si>
  <si>
    <t>215,0</t>
  </si>
  <si>
    <t>182,5</t>
  </si>
  <si>
    <t>172,5</t>
  </si>
  <si>
    <t>96,80</t>
  </si>
  <si>
    <t>Юниоры 20 - 23 (25.01.1996)/23</t>
  </si>
  <si>
    <t>-. Аверьянов Владислав</t>
  </si>
  <si>
    <t>Открытый Чемпионат Самарской области по силовым видам спорта "Волжский Богатырь"
ПРО пауэрлифтинг в  софт экипировке "Стандарт"
Самара/Самарская область 18 - 20 октября 2019 г.</t>
  </si>
  <si>
    <t>362,9830</t>
  </si>
  <si>
    <t>432,5</t>
  </si>
  <si>
    <t>Открытый Чемпионат Самарской области по силовым видам спорта "Волжский Богатырь"
СОВ пауэрлифтинг
Самара/Самарская область 18 - 20 октября 2019 г.</t>
  </si>
  <si>
    <t>48,0375</t>
  </si>
  <si>
    <t>Подъем на бицепс</t>
  </si>
  <si>
    <t>Открытый Чемпионат Самарской области по силовым видам спорта "Волжский Богатырь"
Одиночный подъём штанги на бицепс Профессионалы
Самара/Самарская область 18 - 20 октября 2019 г.</t>
  </si>
  <si>
    <t>31,7362</t>
  </si>
  <si>
    <t>Власов Сергей</t>
  </si>
  <si>
    <t>33,5938</t>
  </si>
  <si>
    <t xml:space="preserve">Чапаевск/Самарская область </t>
  </si>
  <si>
    <t>85,50</t>
  </si>
  <si>
    <t>Открытая (14.02.1991)/28</t>
  </si>
  <si>
    <t>1. Власов Сергей</t>
  </si>
  <si>
    <t>Открытый Чемпионат Самарской области по силовым видам спорта "Волжский Богатырь"
Одиночный подъём штанги на бицепс Любители
Самара/Самарская область 18 - 20 октября 2019 г.</t>
  </si>
  <si>
    <t>60,6165</t>
  </si>
  <si>
    <t>Образцов Сергей</t>
  </si>
  <si>
    <t xml:space="preserve">Балашов Валерий Атеистович </t>
  </si>
  <si>
    <t>119,90</t>
  </si>
  <si>
    <t>Открытая (14.01.1980)/39</t>
  </si>
  <si>
    <t>1. Образцов Сергей</t>
  </si>
  <si>
    <t>Жим стоя</t>
  </si>
  <si>
    <t>Открытый Чемпионат Самарской области по силовым видам спорта "Волжский Богатырь"
Одиночный жим штанги стоя Профессионалы
Самара/Самарская область 18 - 20 октября 2019 г.</t>
  </si>
  <si>
    <t>14,1226</t>
  </si>
  <si>
    <t>990,0</t>
  </si>
  <si>
    <t>All</t>
  </si>
  <si>
    <t>Шабакаев Фярид</t>
  </si>
  <si>
    <t>19,9765</t>
  </si>
  <si>
    <t>1705,0</t>
  </si>
  <si>
    <t>Деньщиков Евгений</t>
  </si>
  <si>
    <t xml:space="preserve">Атлетизм </t>
  </si>
  <si>
    <t>33,2417</t>
  </si>
  <si>
    <t>3630,0</t>
  </si>
  <si>
    <t>39,9249</t>
  </si>
  <si>
    <t>3190,0</t>
  </si>
  <si>
    <t>6,8069</t>
  </si>
  <si>
    <t>550,0</t>
  </si>
  <si>
    <t>Суздальцев Глеб</t>
  </si>
  <si>
    <t>40,0335</t>
  </si>
  <si>
    <t>3575,0</t>
  </si>
  <si>
    <t>18,0</t>
  </si>
  <si>
    <t>70,10</t>
  </si>
  <si>
    <t>Мастера 65 - 69 (28.05.1954)/65</t>
  </si>
  <si>
    <t>2. Шабакаев Фярид</t>
  </si>
  <si>
    <t>31,0</t>
  </si>
  <si>
    <t>85,35</t>
  </si>
  <si>
    <t>Мастера 65 - 69 (06.04.1952)/67</t>
  </si>
  <si>
    <t>1. Деньщиков Евгений</t>
  </si>
  <si>
    <t>58,0</t>
  </si>
  <si>
    <t>66,0</t>
  </si>
  <si>
    <t>10,0</t>
  </si>
  <si>
    <t>Юноши 16 - 17 (29.11.2001)/17</t>
  </si>
  <si>
    <t>1. Суздальцев Глеб</t>
  </si>
  <si>
    <t>ВЕСОВАЯ КАТЕГОРИЯ   All</t>
  </si>
  <si>
    <t>Русский жим</t>
  </si>
  <si>
    <t>Атлетизм</t>
  </si>
  <si>
    <t>Открытый Чемпионат Самарской области по силовым видам спорта "Волжский Богатырь"
Русский жим любители 55 кг.
Самара/Самарская область 18 - 20 октября 2019 г.</t>
  </si>
  <si>
    <t>35,4406</t>
  </si>
  <si>
    <t>3700,0</t>
  </si>
  <si>
    <t>37,0</t>
  </si>
  <si>
    <t>Открытый Чемпионат Самарской области по силовым видам спорта "Волжский Богатырь"
Русский жим профессионалы 100 кг.
Самара/Самарская область 18 - 20 октября 2019 г.</t>
  </si>
  <si>
    <t>27,5672</t>
  </si>
  <si>
    <t>2255,0</t>
  </si>
  <si>
    <t>Атапин Евгений</t>
  </si>
  <si>
    <t>46,5050</t>
  </si>
  <si>
    <t>4125,0</t>
  </si>
  <si>
    <t>Загаринский Александр</t>
  </si>
  <si>
    <t>26,1102</t>
  </si>
  <si>
    <t>32,8767</t>
  </si>
  <si>
    <t>2640,0</t>
  </si>
  <si>
    <t>Бельсков Антон</t>
  </si>
  <si>
    <t>30,8536</t>
  </si>
  <si>
    <t>2530,0</t>
  </si>
  <si>
    <t>37,4381</t>
  </si>
  <si>
    <t>3025,0</t>
  </si>
  <si>
    <t>Загаринский Илья</t>
  </si>
  <si>
    <t>88,70</t>
  </si>
  <si>
    <t>Мастера 45 - 49 (09.09.1971)/48</t>
  </si>
  <si>
    <t>1. Загаринский Александр</t>
  </si>
  <si>
    <t>41,0</t>
  </si>
  <si>
    <t>81,80</t>
  </si>
  <si>
    <t>Мастера 40 - 44 (13.11.1977)/41</t>
  </si>
  <si>
    <t>1. Атапин Евгений</t>
  </si>
  <si>
    <t>2. Ефанов Илья</t>
  </si>
  <si>
    <t>48,0</t>
  </si>
  <si>
    <t>80,30</t>
  </si>
  <si>
    <t>Открытая (27.01.1994)/25</t>
  </si>
  <si>
    <t>1. Бельсков Антон</t>
  </si>
  <si>
    <t>46,0</t>
  </si>
  <si>
    <t>82,00</t>
  </si>
  <si>
    <t>Юноши 18 - 19 (11.01.2000)/19</t>
  </si>
  <si>
    <t>Юноши 16 - 17 (08.06.2002)/17</t>
  </si>
  <si>
    <t>1. Загаринский Илья</t>
  </si>
  <si>
    <t>Открытый Чемпионат Самарской области по силовым видам спорта "Волжский Богатырь"
Русский жим профессионалы 55 кг.
Самара/Самарская область 18 - 20 октября 2019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</si>
</sst>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trike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25" fillId="0" borderId="11" xfId="0" applyNumberFormat="1" applyFont="1" applyFill="1" applyBorder="1" applyAlignment="1">
      <alignment horizontal="center"/>
    </xf>
    <xf numFmtId="49" fontId="25" fillId="0" borderId="13" xfId="0" applyNumberFormat="1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left"/>
    </xf>
    <xf numFmtId="49" fontId="0" fillId="0" borderId="25" xfId="0" applyNumberFormat="1" applyFont="1" applyFill="1" applyBorder="1" applyAlignment="1">
      <alignment horizontal="center"/>
    </xf>
    <xf numFmtId="49" fontId="25" fillId="0" borderId="25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1">
      <selection activeCell="A1" sqref="A1:IV65536"/>
    </sheetView>
  </sheetViews>
  <sheetFormatPr defaultColWidth="9.00390625" defaultRowHeight="12.75"/>
  <cols>
    <col min="1" max="1" width="25.875" style="4" bestFit="1" customWidth="1"/>
    <col min="2" max="2" width="27.875" style="4" customWidth="1"/>
    <col min="3" max="3" width="10.00390625" style="4" customWidth="1"/>
    <col min="4" max="4" width="6.625" style="5" bestFit="1" customWidth="1"/>
    <col min="5" max="5" width="23.75390625" style="4" bestFit="1" customWidth="1"/>
    <col min="6" max="6" width="21.125" style="4" bestFit="1" customWidth="1"/>
    <col min="7" max="7" width="5.625" style="3" bestFit="1" customWidth="1"/>
    <col min="8" max="8" width="7.00390625" style="3" customWidth="1"/>
    <col min="9" max="9" width="6.25390625" style="3" bestFit="1" customWidth="1"/>
    <col min="10" max="10" width="5.625" style="3" bestFit="1" customWidth="1"/>
    <col min="11" max="13" width="7.00390625" style="3" bestFit="1" customWidth="1"/>
    <col min="14" max="14" width="5.625" style="3" bestFit="1" customWidth="1"/>
    <col min="15" max="16" width="7.00390625" style="3" bestFit="1" customWidth="1"/>
    <col min="17" max="17" width="6.25390625" style="3" bestFit="1" customWidth="1"/>
    <col min="18" max="18" width="5.625" style="3" bestFit="1" customWidth="1"/>
    <col min="19" max="19" width="7.875" style="5" bestFit="1" customWidth="1"/>
    <col min="20" max="20" width="8.625" style="6" bestFit="1" customWidth="1"/>
    <col min="21" max="21" width="23.00390625" style="4" bestFit="1" customWidth="1"/>
    <col min="22" max="16384" width="9.125" style="3" customWidth="1"/>
  </cols>
  <sheetData>
    <row r="1" spans="1:21" s="2" customFormat="1" ht="1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s="2" customFormat="1" ht="66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s="1" customFormat="1" ht="12.75" customHeight="1">
      <c r="A3" s="39" t="s">
        <v>0</v>
      </c>
      <c r="B3" s="41" t="s">
        <v>10</v>
      </c>
      <c r="C3" s="41" t="s">
        <v>11</v>
      </c>
      <c r="D3" s="29" t="s">
        <v>9</v>
      </c>
      <c r="E3" s="43" t="s">
        <v>7</v>
      </c>
      <c r="F3" s="43" t="s">
        <v>12</v>
      </c>
      <c r="G3" s="43" t="s">
        <v>1</v>
      </c>
      <c r="H3" s="43"/>
      <c r="I3" s="43"/>
      <c r="J3" s="43"/>
      <c r="K3" s="43" t="s">
        <v>2</v>
      </c>
      <c r="L3" s="43"/>
      <c r="M3" s="43"/>
      <c r="N3" s="43"/>
      <c r="O3" s="43" t="s">
        <v>3</v>
      </c>
      <c r="P3" s="43"/>
      <c r="Q3" s="43"/>
      <c r="R3" s="43"/>
      <c r="S3" s="29" t="s">
        <v>4</v>
      </c>
      <c r="T3" s="29" t="s">
        <v>6</v>
      </c>
      <c r="U3" s="31" t="s">
        <v>5</v>
      </c>
    </row>
    <row r="4" spans="1:21" s="1" customFormat="1" ht="21" customHeight="1" thickBot="1">
      <c r="A4" s="40"/>
      <c r="B4" s="42"/>
      <c r="C4" s="42"/>
      <c r="D4" s="30"/>
      <c r="E4" s="42"/>
      <c r="F4" s="42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7">
        <v>1</v>
      </c>
      <c r="P4" s="7">
        <v>2</v>
      </c>
      <c r="Q4" s="7">
        <v>3</v>
      </c>
      <c r="R4" s="7" t="s">
        <v>8</v>
      </c>
      <c r="S4" s="30"/>
      <c r="T4" s="30"/>
      <c r="U4" s="32"/>
    </row>
  </sheetData>
  <sheetProtection/>
  <mergeCells count="13"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3.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9.00390625" style="4" bestFit="1" customWidth="1"/>
    <col min="14" max="16384" width="9.125" style="3" customWidth="1"/>
  </cols>
  <sheetData>
    <row r="1" spans="1:13" s="2" customFormat="1" ht="28.5" customHeight="1">
      <c r="A1" s="46" t="s">
        <v>232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11</v>
      </c>
      <c r="D3" s="43" t="s">
        <v>135</v>
      </c>
      <c r="E3" s="43" t="s">
        <v>7</v>
      </c>
      <c r="F3" s="43" t="s">
        <v>12</v>
      </c>
      <c r="G3" s="43" t="s">
        <v>155</v>
      </c>
      <c r="H3" s="43"/>
      <c r="I3" s="43"/>
      <c r="J3" s="43"/>
      <c r="K3" s="43" t="s">
        <v>133</v>
      </c>
      <c r="L3" s="43" t="s">
        <v>6</v>
      </c>
      <c r="M3" s="31" t="s">
        <v>5</v>
      </c>
    </row>
    <row r="4" spans="1:13" s="1" customFormat="1" ht="21" customHeight="1" thickBot="1">
      <c r="A4" s="40"/>
      <c r="B4" s="42"/>
      <c r="C4" s="42"/>
      <c r="D4" s="42"/>
      <c r="E4" s="42"/>
      <c r="F4" s="42"/>
      <c r="G4" s="27">
        <v>1</v>
      </c>
      <c r="H4" s="27">
        <v>2</v>
      </c>
      <c r="I4" s="27">
        <v>3</v>
      </c>
      <c r="J4" s="27" t="s">
        <v>8</v>
      </c>
      <c r="K4" s="42"/>
      <c r="L4" s="42"/>
      <c r="M4" s="32"/>
    </row>
    <row r="5" spans="1:12" ht="15">
      <c r="A5" s="44" t="s">
        <v>26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3" ht="12.75">
      <c r="A6" s="8" t="s">
        <v>109</v>
      </c>
      <c r="B6" s="8" t="s">
        <v>110</v>
      </c>
      <c r="C6" s="8" t="s">
        <v>111</v>
      </c>
      <c r="D6" s="8" t="str">
        <f>"0,5869"</f>
        <v>0,5869</v>
      </c>
      <c r="E6" s="8" t="s">
        <v>90</v>
      </c>
      <c r="F6" s="8" t="s">
        <v>112</v>
      </c>
      <c r="G6" s="9" t="s">
        <v>231</v>
      </c>
      <c r="H6" s="9" t="s">
        <v>206</v>
      </c>
      <c r="I6" s="49" t="s">
        <v>230</v>
      </c>
      <c r="J6" s="49"/>
      <c r="K6" s="8" t="str">
        <f>"180,0"</f>
        <v>180,0</v>
      </c>
      <c r="L6" s="9" t="str">
        <f>"151,0681"</f>
        <v>151,0681</v>
      </c>
      <c r="M6" s="8" t="s">
        <v>115</v>
      </c>
    </row>
    <row r="8" spans="5:6" ht="15">
      <c r="E8" s="10" t="s">
        <v>34</v>
      </c>
      <c r="F8" s="28" t="s">
        <v>120</v>
      </c>
    </row>
    <row r="9" spans="5:6" ht="15">
      <c r="E9" s="10" t="s">
        <v>35</v>
      </c>
      <c r="F9" s="28" t="s">
        <v>121</v>
      </c>
    </row>
    <row r="10" spans="5:6" ht="15">
      <c r="E10" s="10" t="s">
        <v>36</v>
      </c>
      <c r="F10" s="28" t="s">
        <v>122</v>
      </c>
    </row>
    <row r="11" spans="5:6" ht="15">
      <c r="E11" s="10" t="s">
        <v>37</v>
      </c>
      <c r="F11" s="28" t="s">
        <v>123</v>
      </c>
    </row>
    <row r="12" spans="5:6" ht="15">
      <c r="E12" s="10" t="s">
        <v>37</v>
      </c>
      <c r="F12" s="28" t="s">
        <v>121</v>
      </c>
    </row>
    <row r="13" spans="5:6" ht="15">
      <c r="E13" s="10" t="s">
        <v>38</v>
      </c>
      <c r="F13" s="28" t="s">
        <v>124</v>
      </c>
    </row>
    <row r="14" ht="15">
      <c r="E14" s="10"/>
    </row>
    <row r="16" spans="1:2" ht="18">
      <c r="A16" s="11" t="s">
        <v>39</v>
      </c>
      <c r="B16" s="11"/>
    </row>
    <row r="17" spans="1:5" s="3" customFormat="1" ht="15">
      <c r="A17" s="12" t="s">
        <v>40</v>
      </c>
      <c r="B17" s="12"/>
      <c r="C17" s="4"/>
      <c r="D17" s="4"/>
      <c r="E17" s="4"/>
    </row>
    <row r="18" spans="1:5" s="3" customFormat="1" ht="14.25">
      <c r="A18" s="14"/>
      <c r="B18" s="15" t="s">
        <v>116</v>
      </c>
      <c r="C18" s="4"/>
      <c r="D18" s="4"/>
      <c r="E18" s="4"/>
    </row>
    <row r="19" spans="1:5" s="3" customFormat="1" ht="15">
      <c r="A19" s="16" t="s">
        <v>42</v>
      </c>
      <c r="B19" s="16" t="s">
        <v>43</v>
      </c>
      <c r="C19" s="16" t="s">
        <v>44</v>
      </c>
      <c r="D19" s="16" t="s">
        <v>45</v>
      </c>
      <c r="E19" s="16" t="s">
        <v>128</v>
      </c>
    </row>
    <row r="20" spans="1:5" s="3" customFormat="1" ht="12.75">
      <c r="A20" s="13" t="s">
        <v>108</v>
      </c>
      <c r="B20" s="4" t="s">
        <v>117</v>
      </c>
      <c r="C20" s="4" t="s">
        <v>47</v>
      </c>
      <c r="D20" s="4" t="s">
        <v>206</v>
      </c>
      <c r="E20" s="17" t="s">
        <v>229</v>
      </c>
    </row>
  </sheetData>
  <sheetProtection/>
  <mergeCells count="12">
    <mergeCell ref="F3:F4"/>
    <mergeCell ref="G3:J3"/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6" t="s">
        <v>245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11</v>
      </c>
      <c r="D3" s="43" t="s">
        <v>135</v>
      </c>
      <c r="E3" s="43" t="s">
        <v>7</v>
      </c>
      <c r="F3" s="43" t="s">
        <v>12</v>
      </c>
      <c r="G3" s="43" t="s">
        <v>244</v>
      </c>
      <c r="H3" s="43"/>
      <c r="I3" s="43"/>
      <c r="J3" s="43"/>
      <c r="K3" s="43" t="s">
        <v>133</v>
      </c>
      <c r="L3" s="43" t="s">
        <v>6</v>
      </c>
      <c r="M3" s="31" t="s">
        <v>5</v>
      </c>
    </row>
    <row r="4" spans="1:13" s="1" customFormat="1" ht="21" customHeight="1" thickBot="1">
      <c r="A4" s="40"/>
      <c r="B4" s="42"/>
      <c r="C4" s="42"/>
      <c r="D4" s="42"/>
      <c r="E4" s="42"/>
      <c r="F4" s="42"/>
      <c r="G4" s="27">
        <v>1</v>
      </c>
      <c r="H4" s="27">
        <v>2</v>
      </c>
      <c r="I4" s="27">
        <v>3</v>
      </c>
      <c r="J4" s="27" t="s">
        <v>8</v>
      </c>
      <c r="K4" s="42"/>
      <c r="L4" s="42"/>
      <c r="M4" s="32"/>
    </row>
    <row r="5" spans="1:12" ht="15">
      <c r="A5" s="44" t="s">
        <v>197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3" ht="12.75">
      <c r="A6" s="8" t="s">
        <v>243</v>
      </c>
      <c r="B6" s="8" t="s">
        <v>242</v>
      </c>
      <c r="C6" s="8" t="s">
        <v>241</v>
      </c>
      <c r="D6" s="8" t="str">
        <f>"0,5277"</f>
        <v>0,5277</v>
      </c>
      <c r="E6" s="8" t="s">
        <v>90</v>
      </c>
      <c r="F6" s="8" t="s">
        <v>240</v>
      </c>
      <c r="G6" s="9" t="s">
        <v>239</v>
      </c>
      <c r="H6" s="9" t="s">
        <v>147</v>
      </c>
      <c r="I6" s="9" t="s">
        <v>236</v>
      </c>
      <c r="J6" s="49"/>
      <c r="K6" s="8" t="str">
        <f>"315,0"</f>
        <v>315,0</v>
      </c>
      <c r="L6" s="9" t="str">
        <f>"166,2255"</f>
        <v>166,2255</v>
      </c>
      <c r="M6" s="8" t="s">
        <v>93</v>
      </c>
    </row>
    <row r="8" spans="1:12" ht="15">
      <c r="A8" s="47" t="s">
        <v>154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3" ht="12.75">
      <c r="A9" s="8" t="s">
        <v>153</v>
      </c>
      <c r="B9" s="8" t="s">
        <v>152</v>
      </c>
      <c r="C9" s="8" t="s">
        <v>151</v>
      </c>
      <c r="D9" s="8" t="str">
        <f>"0,5053"</f>
        <v>0,5053</v>
      </c>
      <c r="E9" s="8" t="s">
        <v>150</v>
      </c>
      <c r="F9" s="8" t="s">
        <v>149</v>
      </c>
      <c r="G9" s="9" t="s">
        <v>234</v>
      </c>
      <c r="H9" s="49" t="s">
        <v>238</v>
      </c>
      <c r="I9" s="49"/>
      <c r="J9" s="49"/>
      <c r="K9" s="8" t="str">
        <f>"270,0"</f>
        <v>270,0</v>
      </c>
      <c r="L9" s="9" t="str">
        <f>"136,8295"</f>
        <v>136,8295</v>
      </c>
      <c r="M9" s="8" t="s">
        <v>93</v>
      </c>
    </row>
    <row r="11" spans="5:6" ht="15">
      <c r="E11" s="10" t="s">
        <v>34</v>
      </c>
      <c r="F11" s="28" t="s">
        <v>120</v>
      </c>
    </row>
    <row r="12" spans="5:6" ht="15">
      <c r="E12" s="10" t="s">
        <v>35</v>
      </c>
      <c r="F12" s="28" t="s">
        <v>121</v>
      </c>
    </row>
    <row r="13" spans="5:6" ht="15">
      <c r="E13" s="10" t="s">
        <v>36</v>
      </c>
      <c r="F13" s="28" t="s">
        <v>122</v>
      </c>
    </row>
    <row r="14" spans="5:6" ht="15">
      <c r="E14" s="10" t="s">
        <v>37</v>
      </c>
      <c r="F14" s="28" t="s">
        <v>123</v>
      </c>
    </row>
    <row r="15" spans="5:6" ht="15">
      <c r="E15" s="10" t="s">
        <v>37</v>
      </c>
      <c r="F15" s="28" t="s">
        <v>120</v>
      </c>
    </row>
    <row r="16" spans="5:6" ht="15">
      <c r="E16" s="10" t="s">
        <v>38</v>
      </c>
      <c r="F16" s="28" t="s">
        <v>124</v>
      </c>
    </row>
    <row r="17" spans="1:5" s="3" customFormat="1" ht="15">
      <c r="A17" s="4"/>
      <c r="B17" s="4"/>
      <c r="C17" s="4"/>
      <c r="D17" s="4"/>
      <c r="E17" s="10"/>
    </row>
    <row r="19" spans="1:5" s="3" customFormat="1" ht="18">
      <c r="A19" s="11" t="s">
        <v>39</v>
      </c>
      <c r="B19" s="11"/>
      <c r="C19" s="4"/>
      <c r="D19" s="4"/>
      <c r="E19" s="4"/>
    </row>
    <row r="20" spans="1:5" s="3" customFormat="1" ht="15">
      <c r="A20" s="12" t="s">
        <v>40</v>
      </c>
      <c r="B20" s="12"/>
      <c r="C20" s="4"/>
      <c r="D20" s="4"/>
      <c r="E20" s="4"/>
    </row>
    <row r="21" spans="1:5" s="3" customFormat="1" ht="14.25">
      <c r="A21" s="14"/>
      <c r="B21" s="15" t="s">
        <v>116</v>
      </c>
      <c r="C21" s="4"/>
      <c r="D21" s="4"/>
      <c r="E21" s="4"/>
    </row>
    <row r="22" spans="1:5" s="3" customFormat="1" ht="15">
      <c r="A22" s="16" t="s">
        <v>42</v>
      </c>
      <c r="B22" s="16" t="s">
        <v>43</v>
      </c>
      <c r="C22" s="16" t="s">
        <v>44</v>
      </c>
      <c r="D22" s="16" t="s">
        <v>45</v>
      </c>
      <c r="E22" s="16" t="s">
        <v>128</v>
      </c>
    </row>
    <row r="23" spans="1:5" s="3" customFormat="1" ht="12.75">
      <c r="A23" s="13" t="s">
        <v>237</v>
      </c>
      <c r="B23" s="4" t="s">
        <v>145</v>
      </c>
      <c r="C23" s="4" t="s">
        <v>159</v>
      </c>
      <c r="D23" s="4" t="s">
        <v>236</v>
      </c>
      <c r="E23" s="17" t="s">
        <v>235</v>
      </c>
    </row>
    <row r="24" spans="1:5" s="3" customFormat="1" ht="12.75">
      <c r="A24" s="13" t="s">
        <v>146</v>
      </c>
      <c r="B24" s="4" t="s">
        <v>145</v>
      </c>
      <c r="C24" s="4" t="s">
        <v>144</v>
      </c>
      <c r="D24" s="4" t="s">
        <v>234</v>
      </c>
      <c r="E24" s="17" t="s">
        <v>233</v>
      </c>
    </row>
  </sheetData>
  <sheetProtection/>
  <mergeCells count="13">
    <mergeCell ref="K3:K4"/>
    <mergeCell ref="L3:L4"/>
    <mergeCell ref="M3:M4"/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0.1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5.75390625" style="4" bestFit="1" customWidth="1"/>
    <col min="14" max="16384" width="9.125" style="3" customWidth="1"/>
  </cols>
  <sheetData>
    <row r="1" spans="1:13" s="2" customFormat="1" ht="28.5" customHeight="1">
      <c r="A1" s="46" t="s">
        <v>255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11</v>
      </c>
      <c r="D3" s="43" t="s">
        <v>135</v>
      </c>
      <c r="E3" s="43" t="s">
        <v>7</v>
      </c>
      <c r="F3" s="43" t="s">
        <v>12</v>
      </c>
      <c r="G3" s="43" t="s">
        <v>244</v>
      </c>
      <c r="H3" s="43"/>
      <c r="I3" s="43"/>
      <c r="J3" s="43"/>
      <c r="K3" s="43" t="s">
        <v>133</v>
      </c>
      <c r="L3" s="43" t="s">
        <v>6</v>
      </c>
      <c r="M3" s="31" t="s">
        <v>5</v>
      </c>
    </row>
    <row r="4" spans="1:13" s="1" customFormat="1" ht="21" customHeight="1" thickBot="1">
      <c r="A4" s="40"/>
      <c r="B4" s="42"/>
      <c r="C4" s="42"/>
      <c r="D4" s="42"/>
      <c r="E4" s="42"/>
      <c r="F4" s="42"/>
      <c r="G4" s="27">
        <v>1</v>
      </c>
      <c r="H4" s="27">
        <v>2</v>
      </c>
      <c r="I4" s="27">
        <v>3</v>
      </c>
      <c r="J4" s="27" t="s">
        <v>8</v>
      </c>
      <c r="K4" s="42"/>
      <c r="L4" s="42"/>
      <c r="M4" s="32"/>
    </row>
    <row r="5" spans="1:12" ht="15">
      <c r="A5" s="44" t="s">
        <v>80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3" ht="12.75">
      <c r="A6" s="8" t="s">
        <v>82</v>
      </c>
      <c r="B6" s="8" t="s">
        <v>83</v>
      </c>
      <c r="C6" s="8" t="s">
        <v>84</v>
      </c>
      <c r="D6" s="8" t="str">
        <f>"0,6955"</f>
        <v>0,6955</v>
      </c>
      <c r="E6" s="8" t="s">
        <v>21</v>
      </c>
      <c r="F6" s="8" t="s">
        <v>22</v>
      </c>
      <c r="G6" s="9" t="s">
        <v>167</v>
      </c>
      <c r="H6" s="9" t="s">
        <v>247</v>
      </c>
      <c r="I6" s="49" t="s">
        <v>189</v>
      </c>
      <c r="J6" s="49"/>
      <c r="K6" s="8" t="str">
        <f>"190,0"</f>
        <v>190,0</v>
      </c>
      <c r="L6" s="9" t="str">
        <f>"132,1503"</f>
        <v>132,1503</v>
      </c>
      <c r="M6" s="8" t="s">
        <v>33</v>
      </c>
    </row>
    <row r="8" spans="1:12" ht="15">
      <c r="A8" s="47" t="s">
        <v>254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3" ht="12.75">
      <c r="A9" s="8" t="s">
        <v>253</v>
      </c>
      <c r="B9" s="8" t="s">
        <v>252</v>
      </c>
      <c r="C9" s="8" t="s">
        <v>251</v>
      </c>
      <c r="D9" s="8" t="str">
        <f>"0,5744"</f>
        <v>0,5744</v>
      </c>
      <c r="E9" s="8" t="s">
        <v>21</v>
      </c>
      <c r="F9" s="8" t="s">
        <v>250</v>
      </c>
      <c r="G9" s="49" t="s">
        <v>249</v>
      </c>
      <c r="H9" s="49" t="s">
        <v>249</v>
      </c>
      <c r="I9" s="49" t="s">
        <v>249</v>
      </c>
      <c r="J9" s="49"/>
      <c r="K9" s="8" t="str">
        <f>"0.00"</f>
        <v>0.00</v>
      </c>
      <c r="L9" s="9" t="str">
        <f>"0,0000"</f>
        <v>0,0000</v>
      </c>
      <c r="M9" s="8" t="s">
        <v>248</v>
      </c>
    </row>
    <row r="11" spans="5:6" ht="15">
      <c r="E11" s="10" t="s">
        <v>34</v>
      </c>
      <c r="F11" s="28" t="s">
        <v>120</v>
      </c>
    </row>
    <row r="12" spans="5:6" ht="15">
      <c r="E12" s="10" t="s">
        <v>35</v>
      </c>
      <c r="F12" s="28" t="s">
        <v>121</v>
      </c>
    </row>
    <row r="13" spans="5:6" ht="15">
      <c r="E13" s="10" t="s">
        <v>36</v>
      </c>
      <c r="F13" s="28" t="s">
        <v>122</v>
      </c>
    </row>
    <row r="14" spans="5:6" ht="15">
      <c r="E14" s="10" t="s">
        <v>37</v>
      </c>
      <c r="F14" s="28" t="s">
        <v>123</v>
      </c>
    </row>
    <row r="15" spans="5:6" ht="15">
      <c r="E15" s="10" t="s">
        <v>37</v>
      </c>
      <c r="F15" s="28" t="s">
        <v>120</v>
      </c>
    </row>
    <row r="16" spans="5:6" ht="15">
      <c r="E16" s="10" t="s">
        <v>38</v>
      </c>
      <c r="F16" s="28" t="s">
        <v>124</v>
      </c>
    </row>
    <row r="17" spans="1:5" s="3" customFormat="1" ht="15">
      <c r="A17" s="4"/>
      <c r="B17" s="4"/>
      <c r="C17" s="4"/>
      <c r="D17" s="4"/>
      <c r="E17" s="10"/>
    </row>
    <row r="19" spans="1:5" s="3" customFormat="1" ht="18">
      <c r="A19" s="11" t="s">
        <v>39</v>
      </c>
      <c r="B19" s="11"/>
      <c r="C19" s="4"/>
      <c r="D19" s="4"/>
      <c r="E19" s="4"/>
    </row>
    <row r="20" spans="1:5" s="3" customFormat="1" ht="15">
      <c r="A20" s="12" t="s">
        <v>40</v>
      </c>
      <c r="B20" s="12"/>
      <c r="C20" s="4"/>
      <c r="D20" s="4"/>
      <c r="E20" s="4"/>
    </row>
    <row r="21" spans="1:5" s="3" customFormat="1" ht="14.25">
      <c r="A21" s="14"/>
      <c r="B21" s="15" t="s">
        <v>41</v>
      </c>
      <c r="C21" s="4"/>
      <c r="D21" s="4"/>
      <c r="E21" s="4"/>
    </row>
    <row r="22" spans="1:5" s="3" customFormat="1" ht="15">
      <c r="A22" s="16" t="s">
        <v>42</v>
      </c>
      <c r="B22" s="16" t="s">
        <v>43</v>
      </c>
      <c r="C22" s="16" t="s">
        <v>44</v>
      </c>
      <c r="D22" s="16" t="s">
        <v>45</v>
      </c>
      <c r="E22" s="16" t="s">
        <v>128</v>
      </c>
    </row>
    <row r="23" spans="1:5" s="3" customFormat="1" ht="12.75">
      <c r="A23" s="13" t="s">
        <v>81</v>
      </c>
      <c r="B23" s="4" t="s">
        <v>41</v>
      </c>
      <c r="C23" s="4" t="s">
        <v>102</v>
      </c>
      <c r="D23" s="4" t="s">
        <v>247</v>
      </c>
      <c r="E23" s="17" t="s">
        <v>246</v>
      </c>
    </row>
  </sheetData>
  <sheetProtection/>
  <mergeCells count="13">
    <mergeCell ref="K3:K4"/>
    <mergeCell ref="L3:L4"/>
    <mergeCell ref="M3:M4"/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K14" sqref="K14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3.25390625" style="4" bestFit="1" customWidth="1"/>
    <col min="7" max="8" width="5.625" style="3" bestFit="1" customWidth="1"/>
    <col min="9" max="9" width="2.1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5.75390625" style="4" bestFit="1" customWidth="1"/>
    <col min="14" max="16384" width="9.125" style="3" customWidth="1"/>
  </cols>
  <sheetData>
    <row r="1" spans="1:13" s="2" customFormat="1" ht="28.5" customHeight="1">
      <c r="A1" s="46" t="s">
        <v>270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11</v>
      </c>
      <c r="D3" s="43" t="s">
        <v>135</v>
      </c>
      <c r="E3" s="43" t="s">
        <v>7</v>
      </c>
      <c r="F3" s="43" t="s">
        <v>12</v>
      </c>
      <c r="G3" s="43" t="s">
        <v>244</v>
      </c>
      <c r="H3" s="43"/>
      <c r="I3" s="43"/>
      <c r="J3" s="43"/>
      <c r="K3" s="43" t="s">
        <v>133</v>
      </c>
      <c r="L3" s="43" t="s">
        <v>6</v>
      </c>
      <c r="M3" s="31" t="s">
        <v>5</v>
      </c>
    </row>
    <row r="4" spans="1:13" s="1" customFormat="1" ht="21" customHeight="1" thickBot="1">
      <c r="A4" s="40"/>
      <c r="B4" s="42"/>
      <c r="C4" s="42"/>
      <c r="D4" s="42"/>
      <c r="E4" s="42"/>
      <c r="F4" s="42"/>
      <c r="G4" s="27">
        <v>1</v>
      </c>
      <c r="H4" s="27">
        <v>2</v>
      </c>
      <c r="I4" s="27">
        <v>3</v>
      </c>
      <c r="J4" s="27" t="s">
        <v>8</v>
      </c>
      <c r="K4" s="42"/>
      <c r="L4" s="42"/>
      <c r="M4" s="32"/>
    </row>
    <row r="5" spans="1:12" ht="15">
      <c r="A5" s="44" t="s">
        <v>80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3" ht="12.75">
      <c r="A6" s="8" t="s">
        <v>269</v>
      </c>
      <c r="B6" s="8" t="s">
        <v>268</v>
      </c>
      <c r="C6" s="8" t="s">
        <v>267</v>
      </c>
      <c r="D6" s="8" t="str">
        <f>"0,7261"</f>
        <v>0,7261</v>
      </c>
      <c r="E6" s="8" t="s">
        <v>90</v>
      </c>
      <c r="F6" s="8" t="s">
        <v>266</v>
      </c>
      <c r="G6" s="9" t="s">
        <v>214</v>
      </c>
      <c r="H6" s="9" t="s">
        <v>226</v>
      </c>
      <c r="I6" s="49"/>
      <c r="J6" s="49"/>
      <c r="K6" s="8" t="str">
        <f>"102,5"</f>
        <v>102,5</v>
      </c>
      <c r="L6" s="9" t="str">
        <f>"85,1483"</f>
        <v>85,1483</v>
      </c>
      <c r="M6" s="8" t="s">
        <v>33</v>
      </c>
    </row>
    <row r="8" spans="1:12" ht="15">
      <c r="A8" s="47" t="s">
        <v>254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3" ht="12.75">
      <c r="A9" s="8" t="s">
        <v>265</v>
      </c>
      <c r="B9" s="8" t="s">
        <v>264</v>
      </c>
      <c r="C9" s="8" t="s">
        <v>263</v>
      </c>
      <c r="D9" s="8" t="str">
        <f>"0,5694"</f>
        <v>0,5694</v>
      </c>
      <c r="E9" s="8" t="s">
        <v>90</v>
      </c>
      <c r="F9" s="8" t="s">
        <v>22</v>
      </c>
      <c r="G9" s="9" t="s">
        <v>262</v>
      </c>
      <c r="H9" s="9" t="s">
        <v>234</v>
      </c>
      <c r="I9" s="49"/>
      <c r="J9" s="49"/>
      <c r="K9" s="8" t="str">
        <f>"270,0"</f>
        <v>270,0</v>
      </c>
      <c r="L9" s="9" t="str">
        <f>"153,7380"</f>
        <v>153,7380</v>
      </c>
      <c r="M9" s="8" t="s">
        <v>261</v>
      </c>
    </row>
    <row r="11" spans="5:6" ht="15">
      <c r="E11" s="10" t="s">
        <v>34</v>
      </c>
      <c r="F11" s="28" t="s">
        <v>120</v>
      </c>
    </row>
    <row r="12" spans="5:6" ht="15">
      <c r="E12" s="10" t="s">
        <v>35</v>
      </c>
      <c r="F12" s="28" t="s">
        <v>121</v>
      </c>
    </row>
    <row r="13" spans="5:6" ht="15">
      <c r="E13" s="10" t="s">
        <v>36</v>
      </c>
      <c r="F13" s="28" t="s">
        <v>122</v>
      </c>
    </row>
    <row r="14" spans="5:6" ht="15">
      <c r="E14" s="10" t="s">
        <v>37</v>
      </c>
      <c r="F14" s="28" t="s">
        <v>123</v>
      </c>
    </row>
    <row r="15" spans="5:6" ht="15">
      <c r="E15" s="10" t="s">
        <v>37</v>
      </c>
      <c r="F15" s="28" t="s">
        <v>120</v>
      </c>
    </row>
    <row r="16" spans="5:6" ht="15">
      <c r="E16" s="10" t="s">
        <v>38</v>
      </c>
      <c r="F16" s="28" t="s">
        <v>124</v>
      </c>
    </row>
    <row r="17" spans="1:5" s="3" customFormat="1" ht="15">
      <c r="A17" s="4"/>
      <c r="B17" s="4"/>
      <c r="C17" s="4"/>
      <c r="D17" s="4"/>
      <c r="E17" s="10"/>
    </row>
    <row r="19" spans="1:5" s="3" customFormat="1" ht="18">
      <c r="A19" s="11" t="s">
        <v>39</v>
      </c>
      <c r="B19" s="11"/>
      <c r="C19" s="4"/>
      <c r="D19" s="4"/>
      <c r="E19" s="4"/>
    </row>
    <row r="20" spans="1:5" s="3" customFormat="1" ht="15">
      <c r="A20" s="12" t="s">
        <v>72</v>
      </c>
      <c r="B20" s="12"/>
      <c r="C20" s="4"/>
      <c r="D20" s="4"/>
      <c r="E20" s="4"/>
    </row>
    <row r="21" spans="1:5" s="3" customFormat="1" ht="14.25">
      <c r="A21" s="14"/>
      <c r="B21" s="15" t="s">
        <v>116</v>
      </c>
      <c r="C21" s="4"/>
      <c r="D21" s="4"/>
      <c r="E21" s="4"/>
    </row>
    <row r="22" spans="1:5" s="3" customFormat="1" ht="15">
      <c r="A22" s="16" t="s">
        <v>42</v>
      </c>
      <c r="B22" s="16" t="s">
        <v>43</v>
      </c>
      <c r="C22" s="16" t="s">
        <v>44</v>
      </c>
      <c r="D22" s="16" t="s">
        <v>45</v>
      </c>
      <c r="E22" s="16" t="s">
        <v>128</v>
      </c>
    </row>
    <row r="23" spans="1:5" s="3" customFormat="1" ht="12.75">
      <c r="A23" s="13" t="s">
        <v>260</v>
      </c>
      <c r="B23" s="4" t="s">
        <v>160</v>
      </c>
      <c r="C23" s="4" t="s">
        <v>102</v>
      </c>
      <c r="D23" s="4" t="s">
        <v>226</v>
      </c>
      <c r="E23" s="17" t="s">
        <v>259</v>
      </c>
    </row>
    <row r="26" spans="1:5" s="3" customFormat="1" ht="15">
      <c r="A26" s="12" t="s">
        <v>40</v>
      </c>
      <c r="B26" s="12"/>
      <c r="C26" s="4"/>
      <c r="D26" s="4"/>
      <c r="E26" s="4"/>
    </row>
    <row r="27" spans="1:5" s="3" customFormat="1" ht="14.25">
      <c r="A27" s="14"/>
      <c r="B27" s="15" t="s">
        <v>41</v>
      </c>
      <c r="C27" s="4"/>
      <c r="D27" s="4"/>
      <c r="E27" s="4"/>
    </row>
    <row r="28" spans="1:5" s="3" customFormat="1" ht="15">
      <c r="A28" s="16" t="s">
        <v>42</v>
      </c>
      <c r="B28" s="16" t="s">
        <v>43</v>
      </c>
      <c r="C28" s="16" t="s">
        <v>44</v>
      </c>
      <c r="D28" s="16" t="s">
        <v>45</v>
      </c>
      <c r="E28" s="16" t="s">
        <v>128</v>
      </c>
    </row>
    <row r="29" spans="1:5" s="3" customFormat="1" ht="12.75">
      <c r="A29" s="13" t="s">
        <v>258</v>
      </c>
      <c r="B29" s="4" t="s">
        <v>41</v>
      </c>
      <c r="C29" s="4" t="s">
        <v>257</v>
      </c>
      <c r="D29" s="4" t="s">
        <v>234</v>
      </c>
      <c r="E29" s="17" t="s">
        <v>256</v>
      </c>
    </row>
  </sheetData>
  <sheetProtection/>
  <mergeCells count="13">
    <mergeCell ref="K3:K4"/>
    <mergeCell ref="L3:L4"/>
    <mergeCell ref="M3:M4"/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0">
      <selection activeCell="F39" sqref="F39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3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6.625" style="4" bestFit="1" customWidth="1"/>
    <col min="14" max="16384" width="9.125" style="3" customWidth="1"/>
  </cols>
  <sheetData>
    <row r="1" spans="1:13" s="2" customFormat="1" ht="28.5" customHeight="1">
      <c r="A1" s="46" t="s">
        <v>321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11</v>
      </c>
      <c r="D3" s="43" t="s">
        <v>135</v>
      </c>
      <c r="E3" s="43" t="s">
        <v>7</v>
      </c>
      <c r="F3" s="43" t="s">
        <v>12</v>
      </c>
      <c r="G3" s="43" t="s">
        <v>244</v>
      </c>
      <c r="H3" s="43"/>
      <c r="I3" s="43"/>
      <c r="J3" s="43"/>
      <c r="K3" s="43" t="s">
        <v>133</v>
      </c>
      <c r="L3" s="43" t="s">
        <v>6</v>
      </c>
      <c r="M3" s="31" t="s">
        <v>5</v>
      </c>
    </row>
    <row r="4" spans="1:13" s="1" customFormat="1" ht="21" customHeight="1" thickBot="1">
      <c r="A4" s="40"/>
      <c r="B4" s="42"/>
      <c r="C4" s="42"/>
      <c r="D4" s="42"/>
      <c r="E4" s="42"/>
      <c r="F4" s="42"/>
      <c r="G4" s="27">
        <v>1</v>
      </c>
      <c r="H4" s="27">
        <v>2</v>
      </c>
      <c r="I4" s="27">
        <v>3</v>
      </c>
      <c r="J4" s="27" t="s">
        <v>8</v>
      </c>
      <c r="K4" s="42"/>
      <c r="L4" s="42"/>
      <c r="M4" s="32"/>
    </row>
    <row r="5" spans="1:12" ht="15">
      <c r="A5" s="44" t="s">
        <v>80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3" ht="12.75">
      <c r="A6" s="8" t="s">
        <v>269</v>
      </c>
      <c r="B6" s="8" t="s">
        <v>268</v>
      </c>
      <c r="C6" s="8" t="s">
        <v>267</v>
      </c>
      <c r="D6" s="8" t="str">
        <f>"0,7261"</f>
        <v>0,7261</v>
      </c>
      <c r="E6" s="8" t="s">
        <v>90</v>
      </c>
      <c r="F6" s="8" t="s">
        <v>266</v>
      </c>
      <c r="G6" s="9" t="s">
        <v>85</v>
      </c>
      <c r="H6" s="9" t="s">
        <v>320</v>
      </c>
      <c r="I6" s="9" t="s">
        <v>98</v>
      </c>
      <c r="J6" s="49"/>
      <c r="K6" s="8" t="str">
        <f>"82,5"</f>
        <v>82,5</v>
      </c>
      <c r="L6" s="9" t="str">
        <f>"68,5340"</f>
        <v>68,5340</v>
      </c>
      <c r="M6" s="8" t="s">
        <v>33</v>
      </c>
    </row>
    <row r="8" spans="1:12" ht="15">
      <c r="A8" s="47" t="s">
        <v>218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3" ht="12.75">
      <c r="A9" s="8" t="s">
        <v>319</v>
      </c>
      <c r="B9" s="8" t="s">
        <v>318</v>
      </c>
      <c r="C9" s="8" t="s">
        <v>317</v>
      </c>
      <c r="D9" s="8" t="str">
        <f>"0,7481"</f>
        <v>0,7481</v>
      </c>
      <c r="E9" s="8" t="s">
        <v>150</v>
      </c>
      <c r="F9" s="8" t="s">
        <v>22</v>
      </c>
      <c r="G9" s="49" t="s">
        <v>227</v>
      </c>
      <c r="H9" s="9" t="s">
        <v>220</v>
      </c>
      <c r="I9" s="49" t="s">
        <v>184</v>
      </c>
      <c r="J9" s="49"/>
      <c r="K9" s="8" t="str">
        <f>"105,0"</f>
        <v>105,0</v>
      </c>
      <c r="L9" s="9" t="str">
        <f>"78,5505"</f>
        <v>78,5505</v>
      </c>
      <c r="M9" s="8" t="s">
        <v>313</v>
      </c>
    </row>
    <row r="11" spans="1:12" ht="15">
      <c r="A11" s="47" t="s">
        <v>80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3" ht="12.75">
      <c r="A12" s="8" t="s">
        <v>316</v>
      </c>
      <c r="B12" s="8" t="s">
        <v>315</v>
      </c>
      <c r="C12" s="8" t="s">
        <v>314</v>
      </c>
      <c r="D12" s="8" t="str">
        <f>"0,6989"</f>
        <v>0,6989</v>
      </c>
      <c r="E12" s="8" t="s">
        <v>150</v>
      </c>
      <c r="F12" s="8" t="s">
        <v>22</v>
      </c>
      <c r="G12" s="9" t="s">
        <v>31</v>
      </c>
      <c r="H12" s="9" t="s">
        <v>276</v>
      </c>
      <c r="I12" s="49" t="s">
        <v>188</v>
      </c>
      <c r="J12" s="49"/>
      <c r="K12" s="8" t="str">
        <f>"97,5"</f>
        <v>97,5</v>
      </c>
      <c r="L12" s="9" t="str">
        <f>"68,1427"</f>
        <v>68,1427</v>
      </c>
      <c r="M12" s="8" t="s">
        <v>313</v>
      </c>
    </row>
    <row r="14" spans="1:12" ht="15">
      <c r="A14" s="47" t="s">
        <v>16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13" ht="12.75">
      <c r="A15" s="21" t="s">
        <v>312</v>
      </c>
      <c r="B15" s="21" t="s">
        <v>96</v>
      </c>
      <c r="C15" s="21" t="s">
        <v>97</v>
      </c>
      <c r="D15" s="21" t="str">
        <f>"0,6198"</f>
        <v>0,6198</v>
      </c>
      <c r="E15" s="21" t="s">
        <v>21</v>
      </c>
      <c r="F15" s="21" t="s">
        <v>22</v>
      </c>
      <c r="G15" s="51" t="s">
        <v>281</v>
      </c>
      <c r="H15" s="22" t="s">
        <v>281</v>
      </c>
      <c r="I15" s="51" t="s">
        <v>311</v>
      </c>
      <c r="J15" s="51"/>
      <c r="K15" s="21" t="str">
        <f>"140,0"</f>
        <v>140,0</v>
      </c>
      <c r="L15" s="22" t="str">
        <f>"86,7720"</f>
        <v>86,7720</v>
      </c>
      <c r="M15" s="21" t="s">
        <v>33</v>
      </c>
    </row>
    <row r="16" spans="1:13" ht="12.75">
      <c r="A16" s="23" t="s">
        <v>310</v>
      </c>
      <c r="B16" s="23" t="s">
        <v>309</v>
      </c>
      <c r="C16" s="23" t="s">
        <v>308</v>
      </c>
      <c r="D16" s="23" t="str">
        <f>"0,6284"</f>
        <v>0,6284</v>
      </c>
      <c r="E16" s="23" t="s">
        <v>90</v>
      </c>
      <c r="F16" s="23" t="s">
        <v>22</v>
      </c>
      <c r="G16" s="24" t="s">
        <v>307</v>
      </c>
      <c r="H16" s="50" t="s">
        <v>272</v>
      </c>
      <c r="I16" s="24" t="s">
        <v>272</v>
      </c>
      <c r="J16" s="50"/>
      <c r="K16" s="23" t="str">
        <f>"92,5"</f>
        <v>92,5</v>
      </c>
      <c r="L16" s="24" t="str">
        <f>"58,1270"</f>
        <v>58,1270</v>
      </c>
      <c r="M16" s="23" t="s">
        <v>306</v>
      </c>
    </row>
    <row r="18" spans="1:12" ht="15">
      <c r="A18" s="47" t="s">
        <v>26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1:13" ht="12.75">
      <c r="A19" s="8" t="s">
        <v>305</v>
      </c>
      <c r="B19" s="8" t="s">
        <v>304</v>
      </c>
      <c r="C19" s="8" t="s">
        <v>303</v>
      </c>
      <c r="D19" s="8" t="str">
        <f>"0,6009"</f>
        <v>0,6009</v>
      </c>
      <c r="E19" s="8" t="s">
        <v>90</v>
      </c>
      <c r="F19" s="8" t="s">
        <v>22</v>
      </c>
      <c r="G19" s="9" t="s">
        <v>281</v>
      </c>
      <c r="H19" s="49" t="s">
        <v>302</v>
      </c>
      <c r="I19" s="49" t="s">
        <v>302</v>
      </c>
      <c r="J19" s="49"/>
      <c r="K19" s="8" t="str">
        <f>"140,0"</f>
        <v>140,0</v>
      </c>
      <c r="L19" s="9" t="str">
        <f>"84,1260"</f>
        <v>84,1260</v>
      </c>
      <c r="M19" s="8" t="s">
        <v>33</v>
      </c>
    </row>
    <row r="21" spans="1:12" ht="15">
      <c r="A21" s="47" t="s">
        <v>254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2" spans="1:13" ht="12.75">
      <c r="A22" s="8" t="s">
        <v>265</v>
      </c>
      <c r="B22" s="8" t="s">
        <v>264</v>
      </c>
      <c r="C22" s="8" t="s">
        <v>263</v>
      </c>
      <c r="D22" s="8" t="str">
        <f>"0,5694"</f>
        <v>0,5694</v>
      </c>
      <c r="E22" s="8" t="s">
        <v>90</v>
      </c>
      <c r="F22" s="8" t="s">
        <v>22</v>
      </c>
      <c r="G22" s="9" t="s">
        <v>289</v>
      </c>
      <c r="H22" s="9" t="s">
        <v>170</v>
      </c>
      <c r="I22" s="49" t="s">
        <v>205</v>
      </c>
      <c r="J22" s="49"/>
      <c r="K22" s="8" t="str">
        <f>"205,0"</f>
        <v>205,0</v>
      </c>
      <c r="L22" s="9" t="str">
        <f>"116,7270"</f>
        <v>116,7270</v>
      </c>
      <c r="M22" s="8" t="s">
        <v>261</v>
      </c>
    </row>
    <row r="24" spans="1:12" ht="15">
      <c r="A24" s="47" t="s">
        <v>301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3" ht="12.75">
      <c r="A25" s="21" t="s">
        <v>300</v>
      </c>
      <c r="B25" s="21" t="s">
        <v>299</v>
      </c>
      <c r="C25" s="21" t="s">
        <v>298</v>
      </c>
      <c r="D25" s="21" t="str">
        <f>"0,5448"</f>
        <v>0,5448</v>
      </c>
      <c r="E25" s="21" t="s">
        <v>21</v>
      </c>
      <c r="F25" s="21" t="s">
        <v>22</v>
      </c>
      <c r="G25" s="22" t="s">
        <v>289</v>
      </c>
      <c r="H25" s="51" t="s">
        <v>170</v>
      </c>
      <c r="I25" s="51" t="s">
        <v>170</v>
      </c>
      <c r="J25" s="51"/>
      <c r="K25" s="21" t="str">
        <f>"195,0"</f>
        <v>195,0</v>
      </c>
      <c r="L25" s="22" t="str">
        <f>"106,2360"</f>
        <v>106,2360</v>
      </c>
      <c r="M25" s="21" t="s">
        <v>33</v>
      </c>
    </row>
    <row r="26" spans="1:13" ht="12.75">
      <c r="A26" s="23" t="s">
        <v>297</v>
      </c>
      <c r="B26" s="23" t="s">
        <v>296</v>
      </c>
      <c r="C26" s="23" t="s">
        <v>295</v>
      </c>
      <c r="D26" s="23" t="str">
        <f>"0,5389"</f>
        <v>0,5389</v>
      </c>
      <c r="E26" s="23" t="s">
        <v>21</v>
      </c>
      <c r="F26" s="23" t="s">
        <v>22</v>
      </c>
      <c r="G26" s="24" t="s">
        <v>294</v>
      </c>
      <c r="H26" s="24" t="s">
        <v>285</v>
      </c>
      <c r="I26" s="50" t="s">
        <v>289</v>
      </c>
      <c r="J26" s="50"/>
      <c r="K26" s="23" t="str">
        <f>"185,0"</f>
        <v>185,0</v>
      </c>
      <c r="L26" s="24" t="str">
        <f>"99,6965"</f>
        <v>99,6965</v>
      </c>
      <c r="M26" s="23" t="s">
        <v>33</v>
      </c>
    </row>
    <row r="28" spans="5:6" ht="15">
      <c r="E28" s="10" t="s">
        <v>34</v>
      </c>
      <c r="F28" s="28" t="s">
        <v>120</v>
      </c>
    </row>
    <row r="29" spans="5:6" ht="15">
      <c r="E29" s="10" t="s">
        <v>35</v>
      </c>
      <c r="F29" s="28" t="s">
        <v>121</v>
      </c>
    </row>
    <row r="30" spans="5:6" ht="15">
      <c r="E30" s="10" t="s">
        <v>36</v>
      </c>
      <c r="F30" s="28" t="s">
        <v>122</v>
      </c>
    </row>
    <row r="31" spans="5:6" ht="15">
      <c r="E31" s="10" t="s">
        <v>37</v>
      </c>
      <c r="F31" s="28" t="s">
        <v>123</v>
      </c>
    </row>
    <row r="32" spans="5:6" ht="15">
      <c r="E32" s="10" t="s">
        <v>37</v>
      </c>
      <c r="F32" s="28" t="s">
        <v>293</v>
      </c>
    </row>
    <row r="33" spans="1:6" s="3" customFormat="1" ht="15">
      <c r="A33" s="4"/>
      <c r="B33" s="4"/>
      <c r="C33" s="4"/>
      <c r="D33" s="4"/>
      <c r="E33" s="10" t="s">
        <v>38</v>
      </c>
      <c r="F33" s="28" t="s">
        <v>124</v>
      </c>
    </row>
    <row r="34" spans="1:6" s="3" customFormat="1" ht="15">
      <c r="A34" s="4"/>
      <c r="B34" s="4"/>
      <c r="C34" s="4"/>
      <c r="D34" s="4"/>
      <c r="E34" s="10"/>
      <c r="F34" s="4"/>
    </row>
    <row r="36" spans="1:6" s="3" customFormat="1" ht="18">
      <c r="A36" s="11" t="s">
        <v>39</v>
      </c>
      <c r="B36" s="11"/>
      <c r="C36" s="4"/>
      <c r="D36" s="4"/>
      <c r="E36" s="4"/>
      <c r="F36" s="4"/>
    </row>
    <row r="37" spans="1:6" s="3" customFormat="1" ht="15">
      <c r="A37" s="12" t="s">
        <v>72</v>
      </c>
      <c r="B37" s="12"/>
      <c r="C37" s="4"/>
      <c r="D37" s="4"/>
      <c r="E37" s="4"/>
      <c r="F37" s="4"/>
    </row>
    <row r="38" spans="1:6" s="3" customFormat="1" ht="14.25">
      <c r="A38" s="14"/>
      <c r="B38" s="15" t="s">
        <v>116</v>
      </c>
      <c r="C38" s="4"/>
      <c r="D38" s="4"/>
      <c r="E38" s="4"/>
      <c r="F38" s="4"/>
    </row>
    <row r="39" spans="1:6" s="3" customFormat="1" ht="15">
      <c r="A39" s="16" t="s">
        <v>42</v>
      </c>
      <c r="B39" s="16" t="s">
        <v>43</v>
      </c>
      <c r="C39" s="16" t="s">
        <v>44</v>
      </c>
      <c r="D39" s="16" t="s">
        <v>45</v>
      </c>
      <c r="E39" s="16" t="s">
        <v>128</v>
      </c>
      <c r="F39" s="4"/>
    </row>
    <row r="40" spans="1:6" s="3" customFormat="1" ht="12.75">
      <c r="A40" s="13" t="s">
        <v>260</v>
      </c>
      <c r="B40" s="4" t="s">
        <v>160</v>
      </c>
      <c r="C40" s="4" t="s">
        <v>102</v>
      </c>
      <c r="D40" s="4" t="s">
        <v>98</v>
      </c>
      <c r="E40" s="17" t="s">
        <v>292</v>
      </c>
      <c r="F40" s="4"/>
    </row>
    <row r="43" spans="1:6" s="3" customFormat="1" ht="15">
      <c r="A43" s="12" t="s">
        <v>40</v>
      </c>
      <c r="B43" s="12"/>
      <c r="C43" s="4"/>
      <c r="D43" s="4"/>
      <c r="E43" s="4"/>
      <c r="F43" s="4"/>
    </row>
    <row r="44" spans="1:6" s="3" customFormat="1" ht="14.25">
      <c r="A44" s="14"/>
      <c r="B44" s="15" t="s">
        <v>41</v>
      </c>
      <c r="C44" s="4"/>
      <c r="D44" s="4"/>
      <c r="E44" s="4"/>
      <c r="F44" s="4"/>
    </row>
    <row r="45" spans="1:6" s="3" customFormat="1" ht="15">
      <c r="A45" s="16" t="s">
        <v>42</v>
      </c>
      <c r="B45" s="16" t="s">
        <v>43</v>
      </c>
      <c r="C45" s="16" t="s">
        <v>44</v>
      </c>
      <c r="D45" s="16" t="s">
        <v>45</v>
      </c>
      <c r="E45" s="16" t="s">
        <v>128</v>
      </c>
      <c r="F45" s="4"/>
    </row>
    <row r="46" spans="1:6" s="3" customFormat="1" ht="12.75">
      <c r="A46" s="13" t="s">
        <v>258</v>
      </c>
      <c r="B46" s="4" t="s">
        <v>41</v>
      </c>
      <c r="C46" s="4" t="s">
        <v>257</v>
      </c>
      <c r="D46" s="4" t="s">
        <v>170</v>
      </c>
      <c r="E46" s="17" t="s">
        <v>291</v>
      </c>
      <c r="F46" s="4"/>
    </row>
    <row r="47" spans="1:6" s="3" customFormat="1" ht="12.75">
      <c r="A47" s="13" t="s">
        <v>290</v>
      </c>
      <c r="B47" s="4" t="s">
        <v>41</v>
      </c>
      <c r="C47" s="4" t="s">
        <v>286</v>
      </c>
      <c r="D47" s="4" t="s">
        <v>289</v>
      </c>
      <c r="E47" s="17" t="s">
        <v>288</v>
      </c>
      <c r="F47" s="4"/>
    </row>
    <row r="48" spans="1:6" s="3" customFormat="1" ht="12.75">
      <c r="A48" s="13" t="s">
        <v>287</v>
      </c>
      <c r="B48" s="4" t="s">
        <v>41</v>
      </c>
      <c r="C48" s="4" t="s">
        <v>286</v>
      </c>
      <c r="D48" s="4" t="s">
        <v>285</v>
      </c>
      <c r="E48" s="17" t="s">
        <v>284</v>
      </c>
      <c r="F48" s="4"/>
    </row>
    <row r="49" spans="1:5" s="3" customFormat="1" ht="12.75">
      <c r="A49" s="13" t="s">
        <v>94</v>
      </c>
      <c r="B49" s="4" t="s">
        <v>41</v>
      </c>
      <c r="C49" s="4" t="s">
        <v>50</v>
      </c>
      <c r="D49" s="4" t="s">
        <v>281</v>
      </c>
      <c r="E49" s="17" t="s">
        <v>283</v>
      </c>
    </row>
    <row r="50" spans="1:5" s="3" customFormat="1" ht="12.75">
      <c r="A50" s="13" t="s">
        <v>282</v>
      </c>
      <c r="B50" s="4" t="s">
        <v>41</v>
      </c>
      <c r="C50" s="4" t="s">
        <v>47</v>
      </c>
      <c r="D50" s="4" t="s">
        <v>281</v>
      </c>
      <c r="E50" s="17" t="s">
        <v>280</v>
      </c>
    </row>
    <row r="51" spans="1:5" s="3" customFormat="1" ht="12.75">
      <c r="A51" s="13" t="s">
        <v>279</v>
      </c>
      <c r="B51" s="4" t="s">
        <v>41</v>
      </c>
      <c r="C51" s="4" t="s">
        <v>185</v>
      </c>
      <c r="D51" s="4" t="s">
        <v>220</v>
      </c>
      <c r="E51" s="17" t="s">
        <v>278</v>
      </c>
    </row>
    <row r="52" spans="1:5" s="3" customFormat="1" ht="12.75">
      <c r="A52" s="13" t="s">
        <v>277</v>
      </c>
      <c r="B52" s="4" t="s">
        <v>41</v>
      </c>
      <c r="C52" s="4" t="s">
        <v>102</v>
      </c>
      <c r="D52" s="4" t="s">
        <v>276</v>
      </c>
      <c r="E52" s="17" t="s">
        <v>275</v>
      </c>
    </row>
    <row r="54" spans="1:5" s="3" customFormat="1" ht="14.25">
      <c r="A54" s="14"/>
      <c r="B54" s="15" t="s">
        <v>116</v>
      </c>
      <c r="C54" s="4"/>
      <c r="D54" s="4"/>
      <c r="E54" s="4"/>
    </row>
    <row r="55" spans="1:5" s="3" customFormat="1" ht="15">
      <c r="A55" s="16" t="s">
        <v>42</v>
      </c>
      <c r="B55" s="16" t="s">
        <v>43</v>
      </c>
      <c r="C55" s="16" t="s">
        <v>44</v>
      </c>
      <c r="D55" s="16" t="s">
        <v>45</v>
      </c>
      <c r="E55" s="16" t="s">
        <v>128</v>
      </c>
    </row>
    <row r="56" spans="1:5" s="3" customFormat="1" ht="12.75">
      <c r="A56" s="13" t="s">
        <v>274</v>
      </c>
      <c r="B56" s="4" t="s">
        <v>273</v>
      </c>
      <c r="C56" s="4" t="s">
        <v>50</v>
      </c>
      <c r="D56" s="4" t="s">
        <v>272</v>
      </c>
      <c r="E56" s="17" t="s">
        <v>271</v>
      </c>
    </row>
  </sheetData>
  <sheetProtection/>
  <mergeCells count="18"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A14:L14"/>
    <mergeCell ref="A18:L18"/>
    <mergeCell ref="A21:L21"/>
    <mergeCell ref="A24:L24"/>
    <mergeCell ref="K3:K4"/>
    <mergeCell ref="L3:L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F8" sqref="F8:F13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6.00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5.75390625" style="4" bestFit="1" customWidth="1"/>
    <col min="14" max="16384" width="9.125" style="3" customWidth="1"/>
  </cols>
  <sheetData>
    <row r="1" spans="1:13" s="2" customFormat="1" ht="28.5" customHeight="1">
      <c r="A1" s="46" t="s">
        <v>449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11</v>
      </c>
      <c r="D3" s="43" t="s">
        <v>135</v>
      </c>
      <c r="E3" s="43" t="s">
        <v>7</v>
      </c>
      <c r="F3" s="43" t="s">
        <v>12</v>
      </c>
      <c r="G3" s="43" t="s">
        <v>244</v>
      </c>
      <c r="H3" s="43"/>
      <c r="I3" s="43"/>
      <c r="J3" s="43"/>
      <c r="K3" s="43" t="s">
        <v>133</v>
      </c>
      <c r="L3" s="43" t="s">
        <v>6</v>
      </c>
      <c r="M3" s="31" t="s">
        <v>5</v>
      </c>
    </row>
    <row r="4" spans="1:13" s="1" customFormat="1" ht="21" customHeight="1" thickBot="1">
      <c r="A4" s="40"/>
      <c r="B4" s="42"/>
      <c r="C4" s="42"/>
      <c r="D4" s="42"/>
      <c r="E4" s="42"/>
      <c r="F4" s="42"/>
      <c r="G4" s="27">
        <v>1</v>
      </c>
      <c r="H4" s="27">
        <v>2</v>
      </c>
      <c r="I4" s="27">
        <v>3</v>
      </c>
      <c r="J4" s="27" t="s">
        <v>8</v>
      </c>
      <c r="K4" s="42"/>
      <c r="L4" s="42"/>
      <c r="M4" s="32"/>
    </row>
    <row r="5" spans="1:12" ht="15">
      <c r="A5" s="44" t="s">
        <v>254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3" ht="12.75">
      <c r="A6" s="8" t="s">
        <v>448</v>
      </c>
      <c r="B6" s="8" t="s">
        <v>447</v>
      </c>
      <c r="C6" s="8" t="s">
        <v>396</v>
      </c>
      <c r="D6" s="8" t="str">
        <f>"0,5578"</f>
        <v>0,5578</v>
      </c>
      <c r="E6" s="8" t="s">
        <v>90</v>
      </c>
      <c r="F6" s="8" t="s">
        <v>22</v>
      </c>
      <c r="G6" s="9" t="s">
        <v>281</v>
      </c>
      <c r="H6" s="49" t="s">
        <v>302</v>
      </c>
      <c r="I6" s="49" t="s">
        <v>302</v>
      </c>
      <c r="J6" s="49"/>
      <c r="K6" s="8" t="str">
        <f>"140,0"</f>
        <v>140,0</v>
      </c>
      <c r="L6" s="9" t="str">
        <f>"78,0920"</f>
        <v>78,0920</v>
      </c>
      <c r="M6" s="8" t="s">
        <v>33</v>
      </c>
    </row>
    <row r="8" spans="5:6" ht="15">
      <c r="E8" s="10" t="s">
        <v>34</v>
      </c>
      <c r="F8" s="28" t="s">
        <v>120</v>
      </c>
    </row>
    <row r="9" spans="5:6" ht="15">
      <c r="E9" s="10" t="s">
        <v>35</v>
      </c>
      <c r="F9" s="28" t="s">
        <v>121</v>
      </c>
    </row>
    <row r="10" spans="5:6" ht="15">
      <c r="E10" s="10" t="s">
        <v>36</v>
      </c>
      <c r="F10" s="28" t="s">
        <v>122</v>
      </c>
    </row>
    <row r="11" spans="5:6" ht="15">
      <c r="E11" s="10" t="s">
        <v>37</v>
      </c>
      <c r="F11" s="28" t="s">
        <v>123</v>
      </c>
    </row>
    <row r="12" spans="5:6" ht="15">
      <c r="E12" s="10" t="s">
        <v>37</v>
      </c>
      <c r="F12" s="28" t="s">
        <v>120</v>
      </c>
    </row>
    <row r="13" spans="5:6" ht="15">
      <c r="E13" s="10" t="s">
        <v>38</v>
      </c>
      <c r="F13" s="28" t="s">
        <v>124</v>
      </c>
    </row>
    <row r="14" ht="15">
      <c r="E14" s="10"/>
    </row>
    <row r="16" spans="1:2" ht="18">
      <c r="A16" s="11" t="s">
        <v>39</v>
      </c>
      <c r="B16" s="11"/>
    </row>
    <row r="17" spans="1:5" s="3" customFormat="1" ht="15">
      <c r="A17" s="12" t="s">
        <v>40</v>
      </c>
      <c r="B17" s="12"/>
      <c r="C17" s="4"/>
      <c r="D17" s="4"/>
      <c r="E17" s="4"/>
    </row>
    <row r="18" spans="1:5" s="3" customFormat="1" ht="14.25">
      <c r="A18" s="14"/>
      <c r="B18" s="15" t="s">
        <v>41</v>
      </c>
      <c r="C18" s="4"/>
      <c r="D18" s="4"/>
      <c r="E18" s="4"/>
    </row>
    <row r="19" spans="1:5" s="3" customFormat="1" ht="15">
      <c r="A19" s="16" t="s">
        <v>42</v>
      </c>
      <c r="B19" s="16" t="s">
        <v>43</v>
      </c>
      <c r="C19" s="16" t="s">
        <v>44</v>
      </c>
      <c r="D19" s="16" t="s">
        <v>45</v>
      </c>
      <c r="E19" s="16" t="s">
        <v>128</v>
      </c>
    </row>
    <row r="20" spans="1:5" s="3" customFormat="1" ht="12.75">
      <c r="A20" s="13" t="s">
        <v>446</v>
      </c>
      <c r="B20" s="4" t="s">
        <v>41</v>
      </c>
      <c r="C20" s="4" t="s">
        <v>257</v>
      </c>
      <c r="D20" s="4" t="s">
        <v>281</v>
      </c>
      <c r="E20" s="17" t="s">
        <v>445</v>
      </c>
    </row>
  </sheetData>
  <sheetProtection/>
  <mergeCells count="12">
    <mergeCell ref="F3:F4"/>
    <mergeCell ref="G3:J3"/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12"/>
  <sheetViews>
    <sheetView zoomScalePageLayoutView="0" workbookViewId="0" topLeftCell="A25">
      <selection activeCell="I61" sqref="I61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4.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22.375" style="4" bestFit="1" customWidth="1"/>
    <col min="14" max="16384" width="9.125" style="3" customWidth="1"/>
  </cols>
  <sheetData>
    <row r="1" spans="1:13" s="2" customFormat="1" ht="28.5" customHeight="1">
      <c r="A1" s="46" t="s">
        <v>444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11</v>
      </c>
      <c r="D3" s="43" t="s">
        <v>135</v>
      </c>
      <c r="E3" s="43" t="s">
        <v>7</v>
      </c>
      <c r="F3" s="43" t="s">
        <v>12</v>
      </c>
      <c r="G3" s="43" t="s">
        <v>244</v>
      </c>
      <c r="H3" s="43"/>
      <c r="I3" s="43"/>
      <c r="J3" s="43"/>
      <c r="K3" s="43" t="s">
        <v>133</v>
      </c>
      <c r="L3" s="43" t="s">
        <v>6</v>
      </c>
      <c r="M3" s="31" t="s">
        <v>5</v>
      </c>
    </row>
    <row r="4" spans="1:13" s="1" customFormat="1" ht="21" customHeight="1" thickBot="1">
      <c r="A4" s="40"/>
      <c r="B4" s="42"/>
      <c r="C4" s="42"/>
      <c r="D4" s="42"/>
      <c r="E4" s="42"/>
      <c r="F4" s="42"/>
      <c r="G4" s="27">
        <v>1</v>
      </c>
      <c r="H4" s="27">
        <v>2</v>
      </c>
      <c r="I4" s="27">
        <v>3</v>
      </c>
      <c r="J4" s="27" t="s">
        <v>8</v>
      </c>
      <c r="K4" s="42"/>
      <c r="L4" s="42"/>
      <c r="M4" s="32"/>
    </row>
    <row r="5" spans="1:12" ht="15">
      <c r="A5" s="44" t="s">
        <v>57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3" ht="12.75">
      <c r="A6" s="21" t="s">
        <v>59</v>
      </c>
      <c r="B6" s="21" t="s">
        <v>60</v>
      </c>
      <c r="C6" s="21" t="s">
        <v>61</v>
      </c>
      <c r="D6" s="21" t="str">
        <f>"0,9927"</f>
        <v>0,9927</v>
      </c>
      <c r="E6" s="21" t="s">
        <v>62</v>
      </c>
      <c r="F6" s="21" t="s">
        <v>22</v>
      </c>
      <c r="G6" s="22" t="s">
        <v>373</v>
      </c>
      <c r="H6" s="22" t="s">
        <v>376</v>
      </c>
      <c r="I6" s="51" t="s">
        <v>358</v>
      </c>
      <c r="J6" s="51"/>
      <c r="K6" s="21" t="str">
        <f>"55,0"</f>
        <v>55,0</v>
      </c>
      <c r="L6" s="22" t="str">
        <f>"54,5985"</f>
        <v>54,5985</v>
      </c>
      <c r="M6" s="21" t="s">
        <v>65</v>
      </c>
    </row>
    <row r="7" spans="1:13" ht="12.75">
      <c r="A7" s="23" t="s">
        <v>443</v>
      </c>
      <c r="B7" s="23" t="s">
        <v>442</v>
      </c>
      <c r="C7" s="23" t="s">
        <v>441</v>
      </c>
      <c r="D7" s="23" t="str">
        <f>"0,9880"</f>
        <v>0,9880</v>
      </c>
      <c r="E7" s="23" t="s">
        <v>90</v>
      </c>
      <c r="F7" s="23" t="s">
        <v>22</v>
      </c>
      <c r="G7" s="24" t="s">
        <v>373</v>
      </c>
      <c r="H7" s="50" t="s">
        <v>440</v>
      </c>
      <c r="I7" s="50" t="s">
        <v>440</v>
      </c>
      <c r="J7" s="50"/>
      <c r="K7" s="23" t="str">
        <f>"50,0"</f>
        <v>50,0</v>
      </c>
      <c r="L7" s="24" t="str">
        <f>"49,4000"</f>
        <v>49,4000</v>
      </c>
      <c r="M7" s="23" t="s">
        <v>439</v>
      </c>
    </row>
    <row r="9" spans="1:12" ht="15">
      <c r="A9" s="47" t="s">
        <v>66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3" ht="12.75">
      <c r="A10" s="8" t="s">
        <v>68</v>
      </c>
      <c r="B10" s="8" t="s">
        <v>69</v>
      </c>
      <c r="C10" s="8" t="s">
        <v>70</v>
      </c>
      <c r="D10" s="8" t="str">
        <f>"0,9470"</f>
        <v>0,9470</v>
      </c>
      <c r="E10" s="8" t="s">
        <v>62</v>
      </c>
      <c r="F10" s="8" t="s">
        <v>22</v>
      </c>
      <c r="G10" s="9" t="s">
        <v>113</v>
      </c>
      <c r="H10" s="49" t="s">
        <v>371</v>
      </c>
      <c r="I10" s="9" t="s">
        <v>371</v>
      </c>
      <c r="J10" s="49"/>
      <c r="K10" s="8" t="str">
        <f>"47,5"</f>
        <v>47,5</v>
      </c>
      <c r="L10" s="9" t="str">
        <f>"44,9801"</f>
        <v>44,9801</v>
      </c>
      <c r="M10" s="8" t="s">
        <v>65</v>
      </c>
    </row>
    <row r="12" spans="1:12" ht="15">
      <c r="A12" s="47" t="s">
        <v>225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</row>
    <row r="13" spans="1:13" ht="12.75">
      <c r="A13" s="8" t="s">
        <v>224</v>
      </c>
      <c r="B13" s="8" t="s">
        <v>223</v>
      </c>
      <c r="C13" s="8" t="s">
        <v>222</v>
      </c>
      <c r="D13" s="8" t="str">
        <f>"0,8794"</f>
        <v>0,8794</v>
      </c>
      <c r="E13" s="8" t="s">
        <v>221</v>
      </c>
      <c r="F13" s="8" t="s">
        <v>22</v>
      </c>
      <c r="G13" s="9" t="s">
        <v>209</v>
      </c>
      <c r="H13" s="9" t="s">
        <v>369</v>
      </c>
      <c r="I13" s="49" t="s">
        <v>438</v>
      </c>
      <c r="J13" s="49"/>
      <c r="K13" s="8" t="str">
        <f>"62,5"</f>
        <v>62,5</v>
      </c>
      <c r="L13" s="9" t="str">
        <f>"56,6663"</f>
        <v>56,6663</v>
      </c>
      <c r="M13" s="8" t="s">
        <v>33</v>
      </c>
    </row>
    <row r="15" spans="1:12" ht="15">
      <c r="A15" s="47" t="s">
        <v>66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</row>
    <row r="16" spans="1:13" ht="12.75">
      <c r="A16" s="8" t="s">
        <v>437</v>
      </c>
      <c r="B16" s="8" t="s">
        <v>436</v>
      </c>
      <c r="C16" s="8" t="s">
        <v>435</v>
      </c>
      <c r="D16" s="8" t="str">
        <f>"0,8817"</f>
        <v>0,8817</v>
      </c>
      <c r="E16" s="8" t="s">
        <v>62</v>
      </c>
      <c r="F16" s="8" t="s">
        <v>22</v>
      </c>
      <c r="G16" s="9" t="s">
        <v>98</v>
      </c>
      <c r="H16" s="9" t="s">
        <v>307</v>
      </c>
      <c r="I16" s="49"/>
      <c r="J16" s="49"/>
      <c r="K16" s="8" t="str">
        <f>"87,5"</f>
        <v>87,5</v>
      </c>
      <c r="L16" s="9" t="str">
        <f>"87,1781"</f>
        <v>87,1781</v>
      </c>
      <c r="M16" s="8" t="s">
        <v>193</v>
      </c>
    </row>
    <row r="18" spans="1:12" ht="15">
      <c r="A18" s="47" t="s">
        <v>225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1:13" ht="12.75">
      <c r="A19" s="8" t="s">
        <v>434</v>
      </c>
      <c r="B19" s="8" t="s">
        <v>433</v>
      </c>
      <c r="C19" s="8" t="s">
        <v>432</v>
      </c>
      <c r="D19" s="8" t="str">
        <f>"0,8257"</f>
        <v>0,8257</v>
      </c>
      <c r="E19" s="8" t="s">
        <v>221</v>
      </c>
      <c r="F19" s="8" t="s">
        <v>210</v>
      </c>
      <c r="G19" s="9" t="s">
        <v>376</v>
      </c>
      <c r="H19" s="9" t="s">
        <v>358</v>
      </c>
      <c r="I19" s="49" t="s">
        <v>209</v>
      </c>
      <c r="J19" s="49"/>
      <c r="K19" s="8" t="str">
        <f>"57,5"</f>
        <v>57,5</v>
      </c>
      <c r="L19" s="9" t="str">
        <f>"51,2760"</f>
        <v>51,2760</v>
      </c>
      <c r="M19" s="8" t="s">
        <v>207</v>
      </c>
    </row>
    <row r="21" spans="1:12" ht="15">
      <c r="A21" s="47" t="s">
        <v>218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2" spans="1:13" ht="12.75">
      <c r="A22" s="21" t="s">
        <v>431</v>
      </c>
      <c r="B22" s="21" t="s">
        <v>430</v>
      </c>
      <c r="C22" s="21" t="s">
        <v>429</v>
      </c>
      <c r="D22" s="21" t="str">
        <f>"0,8046"</f>
        <v>0,8046</v>
      </c>
      <c r="E22" s="21" t="s">
        <v>62</v>
      </c>
      <c r="F22" s="21" t="s">
        <v>22</v>
      </c>
      <c r="G22" s="51" t="s">
        <v>31</v>
      </c>
      <c r="H22" s="51" t="s">
        <v>31</v>
      </c>
      <c r="I22" s="22" t="s">
        <v>31</v>
      </c>
      <c r="J22" s="51"/>
      <c r="K22" s="21" t="str">
        <f>"90,0"</f>
        <v>90,0</v>
      </c>
      <c r="L22" s="22" t="str">
        <f>"76,7588"</f>
        <v>76,7588</v>
      </c>
      <c r="M22" s="21" t="s">
        <v>65</v>
      </c>
    </row>
    <row r="23" spans="1:13" ht="12.75">
      <c r="A23" s="23" t="s">
        <v>428</v>
      </c>
      <c r="B23" s="23" t="s">
        <v>427</v>
      </c>
      <c r="C23" s="23" t="s">
        <v>426</v>
      </c>
      <c r="D23" s="23" t="str">
        <f>"0,7307"</f>
        <v>0,7307</v>
      </c>
      <c r="E23" s="23" t="s">
        <v>62</v>
      </c>
      <c r="F23" s="23" t="s">
        <v>22</v>
      </c>
      <c r="G23" s="24" t="s">
        <v>425</v>
      </c>
      <c r="H23" s="24" t="s">
        <v>344</v>
      </c>
      <c r="I23" s="50" t="s">
        <v>424</v>
      </c>
      <c r="J23" s="50"/>
      <c r="K23" s="23" t="str">
        <f>"127,5"</f>
        <v>127,5</v>
      </c>
      <c r="L23" s="24" t="str">
        <f>"93,1643"</f>
        <v>93,1643</v>
      </c>
      <c r="M23" s="23" t="s">
        <v>193</v>
      </c>
    </row>
    <row r="25" spans="1:12" ht="15">
      <c r="A25" s="47" t="s">
        <v>80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</row>
    <row r="26" spans="1:13" ht="12.75">
      <c r="A26" s="21" t="s">
        <v>423</v>
      </c>
      <c r="B26" s="21" t="s">
        <v>422</v>
      </c>
      <c r="C26" s="21" t="s">
        <v>421</v>
      </c>
      <c r="D26" s="21" t="str">
        <f>"0,6923"</f>
        <v>0,6923</v>
      </c>
      <c r="E26" s="21" t="s">
        <v>62</v>
      </c>
      <c r="F26" s="21" t="s">
        <v>22</v>
      </c>
      <c r="G26" s="22" t="s">
        <v>281</v>
      </c>
      <c r="H26" s="22" t="s">
        <v>384</v>
      </c>
      <c r="I26" s="22" t="s">
        <v>311</v>
      </c>
      <c r="J26" s="51"/>
      <c r="K26" s="21" t="str">
        <f>"150,0"</f>
        <v>150,0</v>
      </c>
      <c r="L26" s="22" t="str">
        <f>"103,8450"</f>
        <v>103,8450</v>
      </c>
      <c r="M26" s="21" t="s">
        <v>93</v>
      </c>
    </row>
    <row r="27" spans="1:13" ht="12.75">
      <c r="A27" s="23" t="s">
        <v>420</v>
      </c>
      <c r="B27" s="23" t="s">
        <v>419</v>
      </c>
      <c r="C27" s="23" t="s">
        <v>418</v>
      </c>
      <c r="D27" s="23" t="str">
        <f>"0,6964"</f>
        <v>0,6964</v>
      </c>
      <c r="E27" s="23" t="s">
        <v>90</v>
      </c>
      <c r="F27" s="23" t="s">
        <v>22</v>
      </c>
      <c r="G27" s="24" t="s">
        <v>376</v>
      </c>
      <c r="H27" s="24" t="s">
        <v>209</v>
      </c>
      <c r="I27" s="50"/>
      <c r="J27" s="50"/>
      <c r="K27" s="23" t="str">
        <f>"60,0"</f>
        <v>60,0</v>
      </c>
      <c r="L27" s="24" t="str">
        <f>"87,2450"</f>
        <v>87,2450</v>
      </c>
      <c r="M27" s="23" t="s">
        <v>417</v>
      </c>
    </row>
    <row r="29" spans="1:12" ht="15">
      <c r="A29" s="47" t="s">
        <v>16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1:13" ht="12.75">
      <c r="A30" s="21" t="s">
        <v>18</v>
      </c>
      <c r="B30" s="21" t="s">
        <v>19</v>
      </c>
      <c r="C30" s="21" t="s">
        <v>20</v>
      </c>
      <c r="D30" s="21" t="str">
        <f>"0,6341"</f>
        <v>0,6341</v>
      </c>
      <c r="E30" s="21" t="s">
        <v>21</v>
      </c>
      <c r="F30" s="21" t="s">
        <v>22</v>
      </c>
      <c r="G30" s="51" t="s">
        <v>334</v>
      </c>
      <c r="H30" s="22" t="s">
        <v>334</v>
      </c>
      <c r="I30" s="51"/>
      <c r="J30" s="51"/>
      <c r="K30" s="21" t="str">
        <f>"130,0"</f>
        <v>130,0</v>
      </c>
      <c r="L30" s="22" t="str">
        <f>"82,4330"</f>
        <v>82,4330</v>
      </c>
      <c r="M30" s="21" t="s">
        <v>25</v>
      </c>
    </row>
    <row r="31" spans="1:13" ht="12.75">
      <c r="A31" s="52" t="s">
        <v>416</v>
      </c>
      <c r="B31" s="52" t="s">
        <v>415</v>
      </c>
      <c r="C31" s="52" t="s">
        <v>414</v>
      </c>
      <c r="D31" s="52" t="str">
        <f>"0,6335"</f>
        <v>0,6335</v>
      </c>
      <c r="E31" s="52" t="s">
        <v>62</v>
      </c>
      <c r="F31" s="52" t="s">
        <v>22</v>
      </c>
      <c r="G31" s="53" t="s">
        <v>334</v>
      </c>
      <c r="H31" s="54" t="s">
        <v>388</v>
      </c>
      <c r="I31" s="54" t="s">
        <v>388</v>
      </c>
      <c r="J31" s="54"/>
      <c r="K31" s="52" t="str">
        <f>"130,0"</f>
        <v>130,0</v>
      </c>
      <c r="L31" s="53" t="str">
        <f>"82,3550"</f>
        <v>82,3550</v>
      </c>
      <c r="M31" s="52" t="s">
        <v>193</v>
      </c>
    </row>
    <row r="32" spans="1:13" ht="12.75">
      <c r="A32" s="23" t="s">
        <v>200</v>
      </c>
      <c r="B32" s="23" t="s">
        <v>199</v>
      </c>
      <c r="C32" s="23" t="s">
        <v>198</v>
      </c>
      <c r="D32" s="23" t="str">
        <f>"0,6318"</f>
        <v>0,6318</v>
      </c>
      <c r="E32" s="23" t="s">
        <v>90</v>
      </c>
      <c r="F32" s="23" t="s">
        <v>22</v>
      </c>
      <c r="G32" s="24" t="s">
        <v>410</v>
      </c>
      <c r="H32" s="24" t="s">
        <v>307</v>
      </c>
      <c r="I32" s="24" t="s">
        <v>31</v>
      </c>
      <c r="J32" s="50"/>
      <c r="K32" s="23" t="str">
        <f>"90,0"</f>
        <v>90,0</v>
      </c>
      <c r="L32" s="24" t="str">
        <f>"115,4299"</f>
        <v>115,4299</v>
      </c>
      <c r="M32" s="23" t="s">
        <v>93</v>
      </c>
    </row>
    <row r="34" spans="1:12" ht="15">
      <c r="A34" s="47" t="s">
        <v>26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spans="1:13" ht="12.75">
      <c r="A35" s="21" t="s">
        <v>413</v>
      </c>
      <c r="B35" s="21" t="s">
        <v>412</v>
      </c>
      <c r="C35" s="21" t="s">
        <v>411</v>
      </c>
      <c r="D35" s="21" t="str">
        <f>"0,5965"</f>
        <v>0,5965</v>
      </c>
      <c r="E35" s="21" t="s">
        <v>62</v>
      </c>
      <c r="F35" s="21" t="s">
        <v>22</v>
      </c>
      <c r="G35" s="22" t="s">
        <v>410</v>
      </c>
      <c r="H35" s="22" t="s">
        <v>31</v>
      </c>
      <c r="I35" s="22" t="s">
        <v>272</v>
      </c>
      <c r="J35" s="51"/>
      <c r="K35" s="21" t="str">
        <f>"92,5"</f>
        <v>92,5</v>
      </c>
      <c r="L35" s="22" t="str">
        <f>"65,1080"</f>
        <v>65,1080</v>
      </c>
      <c r="M35" s="21" t="s">
        <v>65</v>
      </c>
    </row>
    <row r="36" spans="1:13" ht="12.75">
      <c r="A36" s="52" t="s">
        <v>409</v>
      </c>
      <c r="B36" s="52" t="s">
        <v>408</v>
      </c>
      <c r="C36" s="52" t="s">
        <v>407</v>
      </c>
      <c r="D36" s="52" t="str">
        <f>"0,5865"</f>
        <v>0,5865</v>
      </c>
      <c r="E36" s="52" t="s">
        <v>90</v>
      </c>
      <c r="F36" s="52" t="s">
        <v>22</v>
      </c>
      <c r="G36" s="53" t="s">
        <v>209</v>
      </c>
      <c r="H36" s="53" t="s">
        <v>208</v>
      </c>
      <c r="I36" s="54" t="s">
        <v>85</v>
      </c>
      <c r="J36" s="54"/>
      <c r="K36" s="52" t="str">
        <f>"65,0"</f>
        <v>65,0</v>
      </c>
      <c r="L36" s="53" t="str">
        <f>"44,9845"</f>
        <v>44,9845</v>
      </c>
      <c r="M36" s="52" t="s">
        <v>193</v>
      </c>
    </row>
    <row r="37" spans="1:13" ht="12.75">
      <c r="A37" s="52" t="s">
        <v>28</v>
      </c>
      <c r="B37" s="52" t="s">
        <v>29</v>
      </c>
      <c r="C37" s="52" t="s">
        <v>30</v>
      </c>
      <c r="D37" s="52" t="str">
        <f>"0,5901"</f>
        <v>0,5901</v>
      </c>
      <c r="E37" s="52" t="s">
        <v>21</v>
      </c>
      <c r="F37" s="52" t="s">
        <v>22</v>
      </c>
      <c r="G37" s="53" t="s">
        <v>302</v>
      </c>
      <c r="H37" s="54" t="s">
        <v>139</v>
      </c>
      <c r="I37" s="54" t="s">
        <v>139</v>
      </c>
      <c r="J37" s="54"/>
      <c r="K37" s="52" t="str">
        <f>"145,0"</f>
        <v>145,0</v>
      </c>
      <c r="L37" s="53" t="str">
        <f>"85,5645"</f>
        <v>85,5645</v>
      </c>
      <c r="M37" s="52" t="s">
        <v>33</v>
      </c>
    </row>
    <row r="38" spans="1:13" ht="12.75">
      <c r="A38" s="23" t="s">
        <v>406</v>
      </c>
      <c r="B38" s="23" t="s">
        <v>405</v>
      </c>
      <c r="C38" s="23" t="s">
        <v>404</v>
      </c>
      <c r="D38" s="23" t="str">
        <f>"0,6147"</f>
        <v>0,6147</v>
      </c>
      <c r="E38" s="23" t="s">
        <v>62</v>
      </c>
      <c r="F38" s="23" t="s">
        <v>22</v>
      </c>
      <c r="G38" s="24" t="s">
        <v>334</v>
      </c>
      <c r="H38" s="50" t="s">
        <v>338</v>
      </c>
      <c r="I38" s="24" t="s">
        <v>338</v>
      </c>
      <c r="J38" s="50"/>
      <c r="K38" s="23" t="str">
        <f>"135,0"</f>
        <v>135,0</v>
      </c>
      <c r="L38" s="24" t="str">
        <f>"82,9845"</f>
        <v>82,9845</v>
      </c>
      <c r="M38" s="23" t="s">
        <v>193</v>
      </c>
    </row>
    <row r="40" spans="1:12" ht="15">
      <c r="A40" s="47" t="s">
        <v>254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</row>
    <row r="41" spans="1:13" ht="12.75">
      <c r="A41" s="21" t="s">
        <v>403</v>
      </c>
      <c r="B41" s="21" t="s">
        <v>402</v>
      </c>
      <c r="C41" s="21" t="s">
        <v>401</v>
      </c>
      <c r="D41" s="21" t="str">
        <f>"0,5797"</f>
        <v>0,5797</v>
      </c>
      <c r="E41" s="21" t="s">
        <v>62</v>
      </c>
      <c r="F41" s="21" t="s">
        <v>22</v>
      </c>
      <c r="G41" s="22" t="s">
        <v>400</v>
      </c>
      <c r="H41" s="22" t="s">
        <v>113</v>
      </c>
      <c r="I41" s="51" t="s">
        <v>373</v>
      </c>
      <c r="J41" s="51"/>
      <c r="K41" s="21" t="str">
        <f>"45,0"</f>
        <v>45,0</v>
      </c>
      <c r="L41" s="22" t="str">
        <f>"32,0864"</f>
        <v>32,0864</v>
      </c>
      <c r="M41" s="21" t="s">
        <v>193</v>
      </c>
    </row>
    <row r="42" spans="1:13" ht="12.75">
      <c r="A42" s="52" t="s">
        <v>398</v>
      </c>
      <c r="B42" s="52" t="s">
        <v>399</v>
      </c>
      <c r="C42" s="52" t="s">
        <v>396</v>
      </c>
      <c r="D42" s="52" t="str">
        <f>"0,5578"</f>
        <v>0,5578</v>
      </c>
      <c r="E42" s="52" t="s">
        <v>62</v>
      </c>
      <c r="F42" s="52" t="s">
        <v>22</v>
      </c>
      <c r="G42" s="53" t="s">
        <v>395</v>
      </c>
      <c r="H42" s="53" t="s">
        <v>231</v>
      </c>
      <c r="I42" s="54" t="s">
        <v>167</v>
      </c>
      <c r="J42" s="54"/>
      <c r="K42" s="52" t="str">
        <f>"165,0"</f>
        <v>165,0</v>
      </c>
      <c r="L42" s="53" t="str">
        <f>"92,0370"</f>
        <v>92,0370</v>
      </c>
      <c r="M42" s="52" t="s">
        <v>33</v>
      </c>
    </row>
    <row r="43" spans="1:13" ht="12.75">
      <c r="A43" s="52" t="s">
        <v>398</v>
      </c>
      <c r="B43" s="52" t="s">
        <v>397</v>
      </c>
      <c r="C43" s="52" t="s">
        <v>396</v>
      </c>
      <c r="D43" s="52" t="str">
        <f>"0,5578"</f>
        <v>0,5578</v>
      </c>
      <c r="E43" s="52" t="s">
        <v>62</v>
      </c>
      <c r="F43" s="52" t="s">
        <v>22</v>
      </c>
      <c r="G43" s="53" t="s">
        <v>395</v>
      </c>
      <c r="H43" s="53" t="s">
        <v>231</v>
      </c>
      <c r="I43" s="54" t="s">
        <v>167</v>
      </c>
      <c r="J43" s="54"/>
      <c r="K43" s="52" t="str">
        <f>"165,0"</f>
        <v>165,0</v>
      </c>
      <c r="L43" s="53" t="str">
        <f>"92,0370"</f>
        <v>92,0370</v>
      </c>
      <c r="M43" s="52" t="s">
        <v>33</v>
      </c>
    </row>
    <row r="44" spans="1:13" ht="12.75">
      <c r="A44" s="52" t="s">
        <v>394</v>
      </c>
      <c r="B44" s="52" t="s">
        <v>393</v>
      </c>
      <c r="C44" s="52" t="s">
        <v>392</v>
      </c>
      <c r="D44" s="52" t="str">
        <f>"0,5619"</f>
        <v>0,5619</v>
      </c>
      <c r="E44" s="52" t="s">
        <v>90</v>
      </c>
      <c r="F44" s="52" t="s">
        <v>22</v>
      </c>
      <c r="G44" s="54" t="s">
        <v>180</v>
      </c>
      <c r="H44" s="54" t="s">
        <v>334</v>
      </c>
      <c r="I44" s="54" t="s">
        <v>334</v>
      </c>
      <c r="J44" s="54"/>
      <c r="K44" s="52" t="str">
        <f>"0.00"</f>
        <v>0.00</v>
      </c>
      <c r="L44" s="53" t="str">
        <f>"0,0000"</f>
        <v>0,0000</v>
      </c>
      <c r="M44" s="52" t="s">
        <v>33</v>
      </c>
    </row>
    <row r="45" spans="1:13" ht="12.75">
      <c r="A45" s="23" t="s">
        <v>391</v>
      </c>
      <c r="B45" s="23" t="s">
        <v>390</v>
      </c>
      <c r="C45" s="23" t="s">
        <v>389</v>
      </c>
      <c r="D45" s="23" t="str">
        <f>"0,5648"</f>
        <v>0,5648</v>
      </c>
      <c r="E45" s="23" t="s">
        <v>90</v>
      </c>
      <c r="F45" s="23" t="s">
        <v>22</v>
      </c>
      <c r="G45" s="24" t="s">
        <v>344</v>
      </c>
      <c r="H45" s="24" t="s">
        <v>388</v>
      </c>
      <c r="I45" s="24" t="s">
        <v>302</v>
      </c>
      <c r="J45" s="50"/>
      <c r="K45" s="23" t="str">
        <f>"145,0"</f>
        <v>145,0</v>
      </c>
      <c r="L45" s="24" t="str">
        <f>"96,0640"</f>
        <v>96,0640</v>
      </c>
      <c r="M45" s="23" t="s">
        <v>33</v>
      </c>
    </row>
    <row r="47" spans="1:12" ht="15">
      <c r="A47" s="47" t="s">
        <v>301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3" ht="12.75">
      <c r="A48" s="8" t="s">
        <v>387</v>
      </c>
      <c r="B48" s="8" t="s">
        <v>386</v>
      </c>
      <c r="C48" s="8" t="s">
        <v>385</v>
      </c>
      <c r="D48" s="8" t="str">
        <f>"0,5375"</f>
        <v>0,5375</v>
      </c>
      <c r="E48" s="8" t="s">
        <v>90</v>
      </c>
      <c r="F48" s="8" t="s">
        <v>22</v>
      </c>
      <c r="G48" s="9" t="s">
        <v>334</v>
      </c>
      <c r="H48" s="9" t="s">
        <v>281</v>
      </c>
      <c r="I48" s="49" t="s">
        <v>384</v>
      </c>
      <c r="J48" s="49"/>
      <c r="K48" s="8" t="str">
        <f>"140,0"</f>
        <v>140,0</v>
      </c>
      <c r="L48" s="9" t="str">
        <f>"75,2500"</f>
        <v>75,2500</v>
      </c>
      <c r="M48" s="8" t="s">
        <v>383</v>
      </c>
    </row>
    <row r="50" spans="1:12" ht="15">
      <c r="A50" s="47" t="s">
        <v>197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</row>
    <row r="51" spans="1:13" ht="12.75">
      <c r="A51" s="21" t="s">
        <v>382</v>
      </c>
      <c r="B51" s="21" t="s">
        <v>381</v>
      </c>
      <c r="C51" s="21" t="s">
        <v>380</v>
      </c>
      <c r="D51" s="21" t="str">
        <f>"0,5315"</f>
        <v>0,5315</v>
      </c>
      <c r="E51" s="21" t="s">
        <v>150</v>
      </c>
      <c r="F51" s="21" t="s">
        <v>149</v>
      </c>
      <c r="G51" s="22" t="s">
        <v>247</v>
      </c>
      <c r="H51" s="22" t="s">
        <v>289</v>
      </c>
      <c r="I51" s="51" t="s">
        <v>189</v>
      </c>
      <c r="J51" s="51"/>
      <c r="K51" s="21" t="str">
        <f>"195,0"</f>
        <v>195,0</v>
      </c>
      <c r="L51" s="22" t="str">
        <f>"103,6425"</f>
        <v>103,6425</v>
      </c>
      <c r="M51" s="21" t="s">
        <v>93</v>
      </c>
    </row>
    <row r="52" spans="1:13" ht="12.75">
      <c r="A52" s="52" t="s">
        <v>379</v>
      </c>
      <c r="B52" s="52" t="s">
        <v>378</v>
      </c>
      <c r="C52" s="52" t="s">
        <v>377</v>
      </c>
      <c r="D52" s="52" t="str">
        <f>"0,5298"</f>
        <v>0,5298</v>
      </c>
      <c r="E52" s="52" t="s">
        <v>62</v>
      </c>
      <c r="F52" s="52" t="s">
        <v>22</v>
      </c>
      <c r="G52" s="53" t="s">
        <v>302</v>
      </c>
      <c r="H52" s="53" t="s">
        <v>311</v>
      </c>
      <c r="I52" s="53" t="s">
        <v>139</v>
      </c>
      <c r="J52" s="54"/>
      <c r="K52" s="52" t="str">
        <f>"155,0"</f>
        <v>155,0</v>
      </c>
      <c r="L52" s="53" t="str">
        <f>"82,1190"</f>
        <v>82,1190</v>
      </c>
      <c r="M52" s="52" t="s">
        <v>193</v>
      </c>
    </row>
    <row r="53" spans="1:13" ht="12.75">
      <c r="A53" s="23" t="s">
        <v>196</v>
      </c>
      <c r="B53" s="23" t="s">
        <v>195</v>
      </c>
      <c r="C53" s="23" t="s">
        <v>194</v>
      </c>
      <c r="D53" s="23" t="str">
        <f>"0,5247"</f>
        <v>0,5247</v>
      </c>
      <c r="E53" s="23" t="s">
        <v>62</v>
      </c>
      <c r="F53" s="23" t="s">
        <v>22</v>
      </c>
      <c r="G53" s="24" t="s">
        <v>138</v>
      </c>
      <c r="H53" s="24" t="s">
        <v>294</v>
      </c>
      <c r="I53" s="50" t="s">
        <v>206</v>
      </c>
      <c r="J53" s="50"/>
      <c r="K53" s="23" t="str">
        <f>"175,0"</f>
        <v>175,0</v>
      </c>
      <c r="L53" s="24" t="str">
        <f>"98,1582"</f>
        <v>98,1582</v>
      </c>
      <c r="M53" s="23" t="s">
        <v>193</v>
      </c>
    </row>
    <row r="55" spans="1:12" ht="15">
      <c r="A55" s="47" t="s">
        <v>154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</row>
    <row r="56" spans="1:13" ht="12.75">
      <c r="A56" s="8" t="s">
        <v>192</v>
      </c>
      <c r="B56" s="8" t="s">
        <v>191</v>
      </c>
      <c r="C56" s="8" t="s">
        <v>190</v>
      </c>
      <c r="D56" s="8" t="str">
        <f>"0,5131"</f>
        <v>0,5131</v>
      </c>
      <c r="E56" s="8" t="s">
        <v>62</v>
      </c>
      <c r="F56" s="8" t="s">
        <v>22</v>
      </c>
      <c r="G56" s="9" t="s">
        <v>201</v>
      </c>
      <c r="H56" s="9" t="s">
        <v>231</v>
      </c>
      <c r="I56" s="49" t="s">
        <v>167</v>
      </c>
      <c r="J56" s="49"/>
      <c r="K56" s="8" t="str">
        <f>"165,0"</f>
        <v>165,0</v>
      </c>
      <c r="L56" s="9" t="str">
        <f>"89,7377"</f>
        <v>89,7377</v>
      </c>
      <c r="M56" s="8" t="s">
        <v>65</v>
      </c>
    </row>
    <row r="58" spans="5:6" ht="15">
      <c r="E58" s="10" t="s">
        <v>34</v>
      </c>
      <c r="F58" s="28" t="s">
        <v>120</v>
      </c>
    </row>
    <row r="59" spans="5:6" ht="15">
      <c r="E59" s="10" t="s">
        <v>35</v>
      </c>
      <c r="F59" s="28" t="s">
        <v>121</v>
      </c>
    </row>
    <row r="60" spans="5:6" ht="15">
      <c r="E60" s="10" t="s">
        <v>36</v>
      </c>
      <c r="F60" s="28" t="s">
        <v>122</v>
      </c>
    </row>
    <row r="61" spans="5:6" ht="15">
      <c r="E61" s="10" t="s">
        <v>37</v>
      </c>
      <c r="F61" s="28" t="s">
        <v>123</v>
      </c>
    </row>
    <row r="62" spans="5:6" ht="15">
      <c r="E62" s="10" t="s">
        <v>37</v>
      </c>
      <c r="F62" s="28" t="s">
        <v>293</v>
      </c>
    </row>
    <row r="63" spans="5:6" ht="15">
      <c r="E63" s="10" t="s">
        <v>38</v>
      </c>
      <c r="F63" s="28" t="s">
        <v>124</v>
      </c>
    </row>
    <row r="64" ht="15">
      <c r="E64" s="10"/>
    </row>
    <row r="66" spans="1:5" s="3" customFormat="1" ht="18">
      <c r="A66" s="11" t="s">
        <v>39</v>
      </c>
      <c r="B66" s="11"/>
      <c r="C66" s="4"/>
      <c r="D66" s="4"/>
      <c r="E66" s="4"/>
    </row>
    <row r="67" spans="1:5" s="3" customFormat="1" ht="15">
      <c r="A67" s="12" t="s">
        <v>72</v>
      </c>
      <c r="B67" s="12"/>
      <c r="C67" s="4"/>
      <c r="D67" s="4"/>
      <c r="E67" s="4"/>
    </row>
    <row r="68" spans="1:5" s="3" customFormat="1" ht="14.25">
      <c r="A68" s="14"/>
      <c r="B68" s="15" t="s">
        <v>41</v>
      </c>
      <c r="C68" s="4"/>
      <c r="D68" s="4"/>
      <c r="E68" s="4"/>
    </row>
    <row r="69" spans="1:5" s="3" customFormat="1" ht="15">
      <c r="A69" s="16" t="s">
        <v>42</v>
      </c>
      <c r="B69" s="16" t="s">
        <v>43</v>
      </c>
      <c r="C69" s="16" t="s">
        <v>44</v>
      </c>
      <c r="D69" s="16" t="s">
        <v>45</v>
      </c>
      <c r="E69" s="16" t="s">
        <v>128</v>
      </c>
    </row>
    <row r="70" spans="1:5" s="3" customFormat="1" ht="12.75">
      <c r="A70" s="13" t="s">
        <v>58</v>
      </c>
      <c r="B70" s="4" t="s">
        <v>41</v>
      </c>
      <c r="C70" s="4" t="s">
        <v>73</v>
      </c>
      <c r="D70" s="4" t="s">
        <v>376</v>
      </c>
      <c r="E70" s="17" t="s">
        <v>375</v>
      </c>
    </row>
    <row r="71" spans="1:5" s="3" customFormat="1" ht="12.75">
      <c r="A71" s="13" t="s">
        <v>374</v>
      </c>
      <c r="B71" s="4" t="s">
        <v>41</v>
      </c>
      <c r="C71" s="4" t="s">
        <v>73</v>
      </c>
      <c r="D71" s="4" t="s">
        <v>373</v>
      </c>
      <c r="E71" s="17" t="s">
        <v>372</v>
      </c>
    </row>
    <row r="72" spans="1:5" s="3" customFormat="1" ht="12.75">
      <c r="A72" s="13" t="s">
        <v>67</v>
      </c>
      <c r="B72" s="4" t="s">
        <v>41</v>
      </c>
      <c r="C72" s="4" t="s">
        <v>76</v>
      </c>
      <c r="D72" s="4" t="s">
        <v>371</v>
      </c>
      <c r="E72" s="17" t="s">
        <v>370</v>
      </c>
    </row>
    <row r="74" spans="1:5" s="3" customFormat="1" ht="14.25">
      <c r="A74" s="14"/>
      <c r="B74" s="15" t="s">
        <v>116</v>
      </c>
      <c r="C74" s="4"/>
      <c r="D74" s="4"/>
      <c r="E74" s="4"/>
    </row>
    <row r="75" spans="1:5" s="3" customFormat="1" ht="15">
      <c r="A75" s="16" t="s">
        <v>42</v>
      </c>
      <c r="B75" s="16" t="s">
        <v>43</v>
      </c>
      <c r="C75" s="16" t="s">
        <v>44</v>
      </c>
      <c r="D75" s="16" t="s">
        <v>45</v>
      </c>
      <c r="E75" s="16" t="s">
        <v>128</v>
      </c>
    </row>
    <row r="76" spans="1:5" s="3" customFormat="1" ht="12.75">
      <c r="A76" s="13" t="s">
        <v>182</v>
      </c>
      <c r="B76" s="4" t="s">
        <v>145</v>
      </c>
      <c r="C76" s="4" t="s">
        <v>181</v>
      </c>
      <c r="D76" s="4" t="s">
        <v>369</v>
      </c>
      <c r="E76" s="17" t="s">
        <v>368</v>
      </c>
    </row>
    <row r="79" spans="1:5" s="3" customFormat="1" ht="15">
      <c r="A79" s="12" t="s">
        <v>40</v>
      </c>
      <c r="B79" s="12"/>
      <c r="C79" s="4"/>
      <c r="D79" s="4"/>
      <c r="E79" s="4"/>
    </row>
    <row r="80" spans="1:5" s="3" customFormat="1" ht="14.25">
      <c r="A80" s="14"/>
      <c r="B80" s="15" t="s">
        <v>178</v>
      </c>
      <c r="C80" s="4"/>
      <c r="D80" s="4"/>
      <c r="E80" s="4"/>
    </row>
    <row r="81" spans="1:5" s="3" customFormat="1" ht="15">
      <c r="A81" s="16" t="s">
        <v>42</v>
      </c>
      <c r="B81" s="16" t="s">
        <v>43</v>
      </c>
      <c r="C81" s="16" t="s">
        <v>44</v>
      </c>
      <c r="D81" s="16" t="s">
        <v>45</v>
      </c>
      <c r="E81" s="16" t="s">
        <v>128</v>
      </c>
    </row>
    <row r="82" spans="1:5" s="3" customFormat="1" ht="12.75">
      <c r="A82" s="13" t="s">
        <v>177</v>
      </c>
      <c r="B82" s="4" t="s">
        <v>176</v>
      </c>
      <c r="C82" s="4" t="s">
        <v>144</v>
      </c>
      <c r="D82" s="4" t="s">
        <v>231</v>
      </c>
      <c r="E82" s="17" t="s">
        <v>367</v>
      </c>
    </row>
    <row r="83" spans="1:5" s="3" customFormat="1" ht="12.75">
      <c r="A83" s="13" t="s">
        <v>366</v>
      </c>
      <c r="B83" s="4" t="s">
        <v>359</v>
      </c>
      <c r="C83" s="4" t="s">
        <v>76</v>
      </c>
      <c r="D83" s="4" t="s">
        <v>307</v>
      </c>
      <c r="E83" s="17" t="s">
        <v>365</v>
      </c>
    </row>
    <row r="84" spans="1:5" s="3" customFormat="1" ht="12.75">
      <c r="A84" s="13" t="s">
        <v>364</v>
      </c>
      <c r="B84" s="4" t="s">
        <v>176</v>
      </c>
      <c r="C84" s="4" t="s">
        <v>185</v>
      </c>
      <c r="D84" s="4" t="s">
        <v>31</v>
      </c>
      <c r="E84" s="17" t="s">
        <v>363</v>
      </c>
    </row>
    <row r="85" spans="1:5" s="3" customFormat="1" ht="12.75">
      <c r="A85" s="13" t="s">
        <v>362</v>
      </c>
      <c r="B85" s="4" t="s">
        <v>172</v>
      </c>
      <c r="C85" s="4" t="s">
        <v>47</v>
      </c>
      <c r="D85" s="4" t="s">
        <v>272</v>
      </c>
      <c r="E85" s="17" t="s">
        <v>361</v>
      </c>
    </row>
    <row r="86" spans="1:5" s="3" customFormat="1" ht="12.75">
      <c r="A86" s="13" t="s">
        <v>360</v>
      </c>
      <c r="B86" s="4" t="s">
        <v>359</v>
      </c>
      <c r="C86" s="4" t="s">
        <v>181</v>
      </c>
      <c r="D86" s="4" t="s">
        <v>358</v>
      </c>
      <c r="E86" s="17" t="s">
        <v>357</v>
      </c>
    </row>
    <row r="87" spans="1:5" s="3" customFormat="1" ht="12.75">
      <c r="A87" s="13" t="s">
        <v>356</v>
      </c>
      <c r="B87" s="4" t="s">
        <v>172</v>
      </c>
      <c r="C87" s="4" t="s">
        <v>47</v>
      </c>
      <c r="D87" s="4" t="s">
        <v>208</v>
      </c>
      <c r="E87" s="17" t="s">
        <v>355</v>
      </c>
    </row>
    <row r="88" spans="1:5" s="3" customFormat="1" ht="12.75">
      <c r="A88" s="13" t="s">
        <v>354</v>
      </c>
      <c r="B88" s="4" t="s">
        <v>353</v>
      </c>
      <c r="C88" s="4" t="s">
        <v>257</v>
      </c>
      <c r="D88" s="4" t="s">
        <v>113</v>
      </c>
      <c r="E88" s="17" t="s">
        <v>352</v>
      </c>
    </row>
    <row r="90" spans="1:5" s="3" customFormat="1" ht="14.25">
      <c r="A90" s="14"/>
      <c r="B90" s="15" t="s">
        <v>351</v>
      </c>
      <c r="C90" s="4"/>
      <c r="D90" s="4"/>
      <c r="E90" s="4"/>
    </row>
    <row r="91" spans="1:5" s="3" customFormat="1" ht="15">
      <c r="A91" s="16" t="s">
        <v>42</v>
      </c>
      <c r="B91" s="16" t="s">
        <v>43</v>
      </c>
      <c r="C91" s="16" t="s">
        <v>44</v>
      </c>
      <c r="D91" s="16" t="s">
        <v>45</v>
      </c>
      <c r="E91" s="16" t="s">
        <v>128</v>
      </c>
    </row>
    <row r="92" spans="1:5" s="3" customFormat="1" ht="12.75">
      <c r="A92" s="13" t="s">
        <v>342</v>
      </c>
      <c r="B92" s="4" t="s">
        <v>350</v>
      </c>
      <c r="C92" s="4" t="s">
        <v>257</v>
      </c>
      <c r="D92" s="4" t="s">
        <v>231</v>
      </c>
      <c r="E92" s="17" t="s">
        <v>341</v>
      </c>
    </row>
    <row r="94" spans="1:5" s="3" customFormat="1" ht="14.25">
      <c r="A94" s="14"/>
      <c r="B94" s="15" t="s">
        <v>41</v>
      </c>
      <c r="C94" s="4"/>
      <c r="D94" s="4"/>
      <c r="E94" s="4"/>
    </row>
    <row r="95" spans="1:5" s="3" customFormat="1" ht="15">
      <c r="A95" s="16" t="s">
        <v>42</v>
      </c>
      <c r="B95" s="16" t="s">
        <v>43</v>
      </c>
      <c r="C95" s="16" t="s">
        <v>44</v>
      </c>
      <c r="D95" s="16" t="s">
        <v>45</v>
      </c>
      <c r="E95" s="16" t="s">
        <v>128</v>
      </c>
    </row>
    <row r="96" spans="1:5" s="3" customFormat="1" ht="12.75">
      <c r="A96" s="13" t="s">
        <v>349</v>
      </c>
      <c r="B96" s="4" t="s">
        <v>41</v>
      </c>
      <c r="C96" s="4" t="s">
        <v>102</v>
      </c>
      <c r="D96" s="4" t="s">
        <v>311</v>
      </c>
      <c r="E96" s="17" t="s">
        <v>348</v>
      </c>
    </row>
    <row r="97" spans="1:5" s="3" customFormat="1" ht="12.75">
      <c r="A97" s="13" t="s">
        <v>347</v>
      </c>
      <c r="B97" s="4" t="s">
        <v>41</v>
      </c>
      <c r="C97" s="4" t="s">
        <v>159</v>
      </c>
      <c r="D97" s="4" t="s">
        <v>289</v>
      </c>
      <c r="E97" s="17" t="s">
        <v>346</v>
      </c>
    </row>
    <row r="98" spans="1:5" s="3" customFormat="1" ht="12.75">
      <c r="A98" s="13" t="s">
        <v>345</v>
      </c>
      <c r="B98" s="4" t="s">
        <v>41</v>
      </c>
      <c r="C98" s="4" t="s">
        <v>185</v>
      </c>
      <c r="D98" s="4" t="s">
        <v>344</v>
      </c>
      <c r="E98" s="17" t="s">
        <v>343</v>
      </c>
    </row>
    <row r="99" spans="1:5" s="3" customFormat="1" ht="12.75">
      <c r="A99" s="13" t="s">
        <v>342</v>
      </c>
      <c r="B99" s="4" t="s">
        <v>41</v>
      </c>
      <c r="C99" s="4" t="s">
        <v>257</v>
      </c>
      <c r="D99" s="4" t="s">
        <v>231</v>
      </c>
      <c r="E99" s="17" t="s">
        <v>341</v>
      </c>
    </row>
    <row r="100" spans="1:5" s="3" customFormat="1" ht="12.75">
      <c r="A100" s="13" t="s">
        <v>27</v>
      </c>
      <c r="B100" s="4" t="s">
        <v>41</v>
      </c>
      <c r="C100" s="4" t="s">
        <v>47</v>
      </c>
      <c r="D100" s="4" t="s">
        <v>302</v>
      </c>
      <c r="E100" s="17" t="s">
        <v>340</v>
      </c>
    </row>
    <row r="101" spans="1:5" s="3" customFormat="1" ht="12.75">
      <c r="A101" s="13" t="s">
        <v>339</v>
      </c>
      <c r="B101" s="4" t="s">
        <v>41</v>
      </c>
      <c r="C101" s="4" t="s">
        <v>47</v>
      </c>
      <c r="D101" s="4" t="s">
        <v>338</v>
      </c>
      <c r="E101" s="17" t="s">
        <v>337</v>
      </c>
    </row>
    <row r="102" spans="1:5" s="3" customFormat="1" ht="12.75">
      <c r="A102" s="13" t="s">
        <v>17</v>
      </c>
      <c r="B102" s="4" t="s">
        <v>41</v>
      </c>
      <c r="C102" s="4" t="s">
        <v>50</v>
      </c>
      <c r="D102" s="4" t="s">
        <v>334</v>
      </c>
      <c r="E102" s="17" t="s">
        <v>336</v>
      </c>
    </row>
    <row r="103" spans="1:5" s="3" customFormat="1" ht="12.75">
      <c r="A103" s="13" t="s">
        <v>335</v>
      </c>
      <c r="B103" s="4" t="s">
        <v>41</v>
      </c>
      <c r="C103" s="4" t="s">
        <v>50</v>
      </c>
      <c r="D103" s="4" t="s">
        <v>334</v>
      </c>
      <c r="E103" s="17" t="s">
        <v>333</v>
      </c>
    </row>
    <row r="104" spans="1:5" s="3" customFormat="1" ht="12.75">
      <c r="A104" s="13" t="s">
        <v>332</v>
      </c>
      <c r="B104" s="4" t="s">
        <v>41</v>
      </c>
      <c r="C104" s="4" t="s">
        <v>159</v>
      </c>
      <c r="D104" s="4" t="s">
        <v>139</v>
      </c>
      <c r="E104" s="17" t="s">
        <v>331</v>
      </c>
    </row>
    <row r="105" spans="1:5" s="3" customFormat="1" ht="12.75">
      <c r="A105" s="13" t="s">
        <v>330</v>
      </c>
      <c r="B105" s="4" t="s">
        <v>41</v>
      </c>
      <c r="C105" s="4" t="s">
        <v>286</v>
      </c>
      <c r="D105" s="4" t="s">
        <v>281</v>
      </c>
      <c r="E105" s="17" t="s">
        <v>329</v>
      </c>
    </row>
    <row r="107" spans="1:5" s="3" customFormat="1" ht="14.25">
      <c r="A107" s="14"/>
      <c r="B107" s="15" t="s">
        <v>116</v>
      </c>
      <c r="C107" s="4"/>
      <c r="D107" s="4"/>
      <c r="E107" s="4"/>
    </row>
    <row r="108" spans="1:5" s="3" customFormat="1" ht="15">
      <c r="A108" s="16" t="s">
        <v>42</v>
      </c>
      <c r="B108" s="16" t="s">
        <v>43</v>
      </c>
      <c r="C108" s="16" t="s">
        <v>44</v>
      </c>
      <c r="D108" s="16" t="s">
        <v>45</v>
      </c>
      <c r="E108" s="16" t="s">
        <v>128</v>
      </c>
    </row>
    <row r="109" spans="1:5" s="3" customFormat="1" ht="12.75">
      <c r="A109" s="13" t="s">
        <v>165</v>
      </c>
      <c r="B109" s="4" t="s">
        <v>164</v>
      </c>
      <c r="C109" s="4" t="s">
        <v>50</v>
      </c>
      <c r="D109" s="4" t="s">
        <v>31</v>
      </c>
      <c r="E109" s="17" t="s">
        <v>328</v>
      </c>
    </row>
    <row r="110" spans="1:5" s="3" customFormat="1" ht="12.75">
      <c r="A110" s="13" t="s">
        <v>161</v>
      </c>
      <c r="B110" s="4" t="s">
        <v>160</v>
      </c>
      <c r="C110" s="4" t="s">
        <v>159</v>
      </c>
      <c r="D110" s="4" t="s">
        <v>294</v>
      </c>
      <c r="E110" s="17" t="s">
        <v>327</v>
      </c>
    </row>
    <row r="111" spans="1:5" s="3" customFormat="1" ht="12.75">
      <c r="A111" s="13" t="s">
        <v>326</v>
      </c>
      <c r="B111" s="4" t="s">
        <v>325</v>
      </c>
      <c r="C111" s="4" t="s">
        <v>257</v>
      </c>
      <c r="D111" s="4" t="s">
        <v>302</v>
      </c>
      <c r="E111" s="17" t="s">
        <v>324</v>
      </c>
    </row>
    <row r="112" spans="1:5" s="3" customFormat="1" ht="12.75">
      <c r="A112" s="13" t="s">
        <v>323</v>
      </c>
      <c r="B112" s="4" t="s">
        <v>273</v>
      </c>
      <c r="C112" s="4" t="s">
        <v>102</v>
      </c>
      <c r="D112" s="4" t="s">
        <v>209</v>
      </c>
      <c r="E112" s="17" t="s">
        <v>322</v>
      </c>
    </row>
  </sheetData>
  <sheetProtection/>
  <mergeCells count="24">
    <mergeCell ref="L3:L4"/>
    <mergeCell ref="M3:M4"/>
    <mergeCell ref="A5:L5"/>
    <mergeCell ref="A9:L9"/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A40:L40"/>
    <mergeCell ref="A47:L47"/>
    <mergeCell ref="A50:L50"/>
    <mergeCell ref="A55:L55"/>
    <mergeCell ref="A15:L15"/>
    <mergeCell ref="A18:L18"/>
    <mergeCell ref="A21:L21"/>
    <mergeCell ref="A25:L25"/>
    <mergeCell ref="A29:L29"/>
    <mergeCell ref="A34:L3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60"/>
  <sheetViews>
    <sheetView zoomScalePageLayoutView="0" workbookViewId="0" topLeftCell="A4">
      <selection activeCell="H30" sqref="H30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4.62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22.375" style="4" bestFit="1" customWidth="1"/>
    <col min="22" max="16384" width="9.125" style="3" customWidth="1"/>
  </cols>
  <sheetData>
    <row r="1" spans="1:21" s="2" customFormat="1" ht="28.5" customHeight="1">
      <c r="A1" s="46" t="s">
        <v>502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s="1" customFormat="1" ht="12.75" customHeight="1">
      <c r="A3" s="39" t="s">
        <v>0</v>
      </c>
      <c r="B3" s="41" t="s">
        <v>10</v>
      </c>
      <c r="C3" s="41" t="s">
        <v>11</v>
      </c>
      <c r="D3" s="43" t="s">
        <v>135</v>
      </c>
      <c r="E3" s="43" t="s">
        <v>7</v>
      </c>
      <c r="F3" s="43" t="s">
        <v>12</v>
      </c>
      <c r="G3" s="43" t="s">
        <v>134</v>
      </c>
      <c r="H3" s="43"/>
      <c r="I3" s="43"/>
      <c r="J3" s="43"/>
      <c r="K3" s="43" t="s">
        <v>244</v>
      </c>
      <c r="L3" s="43"/>
      <c r="M3" s="43"/>
      <c r="N3" s="43"/>
      <c r="O3" s="43" t="s">
        <v>155</v>
      </c>
      <c r="P3" s="43"/>
      <c r="Q3" s="43"/>
      <c r="R3" s="43"/>
      <c r="S3" s="43" t="s">
        <v>4</v>
      </c>
      <c r="T3" s="43" t="s">
        <v>6</v>
      </c>
      <c r="U3" s="31" t="s">
        <v>5</v>
      </c>
    </row>
    <row r="4" spans="1:21" s="1" customFormat="1" ht="21" customHeight="1" thickBot="1">
      <c r="A4" s="40"/>
      <c r="B4" s="42"/>
      <c r="C4" s="42"/>
      <c r="D4" s="42"/>
      <c r="E4" s="42"/>
      <c r="F4" s="42"/>
      <c r="G4" s="27">
        <v>1</v>
      </c>
      <c r="H4" s="27">
        <v>2</v>
      </c>
      <c r="I4" s="27">
        <v>3</v>
      </c>
      <c r="J4" s="27" t="s">
        <v>8</v>
      </c>
      <c r="K4" s="27">
        <v>1</v>
      </c>
      <c r="L4" s="27">
        <v>2</v>
      </c>
      <c r="M4" s="27">
        <v>3</v>
      </c>
      <c r="N4" s="27" t="s">
        <v>8</v>
      </c>
      <c r="O4" s="27">
        <v>1</v>
      </c>
      <c r="P4" s="27">
        <v>2</v>
      </c>
      <c r="Q4" s="27">
        <v>3</v>
      </c>
      <c r="R4" s="27" t="s">
        <v>8</v>
      </c>
      <c r="S4" s="42"/>
      <c r="T4" s="42"/>
      <c r="U4" s="32"/>
    </row>
    <row r="5" spans="1:20" ht="15">
      <c r="A5" s="44" t="s">
        <v>66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1" ht="12.75">
      <c r="A6" s="8" t="s">
        <v>501</v>
      </c>
      <c r="B6" s="8" t="s">
        <v>500</v>
      </c>
      <c r="C6" s="8" t="s">
        <v>499</v>
      </c>
      <c r="D6" s="8" t="str">
        <f>"0,9256"</f>
        <v>0,9256</v>
      </c>
      <c r="E6" s="8" t="s">
        <v>221</v>
      </c>
      <c r="F6" s="8" t="s">
        <v>210</v>
      </c>
      <c r="G6" s="9" t="s">
        <v>129</v>
      </c>
      <c r="H6" s="9" t="s">
        <v>85</v>
      </c>
      <c r="I6" s="9" t="s">
        <v>126</v>
      </c>
      <c r="J6" s="49"/>
      <c r="K6" s="9" t="s">
        <v>496</v>
      </c>
      <c r="L6" s="9" t="s">
        <v>113</v>
      </c>
      <c r="M6" s="49" t="s">
        <v>371</v>
      </c>
      <c r="N6" s="49"/>
      <c r="O6" s="9" t="s">
        <v>272</v>
      </c>
      <c r="P6" s="9" t="s">
        <v>227</v>
      </c>
      <c r="Q6" s="9" t="s">
        <v>276</v>
      </c>
      <c r="R6" s="49"/>
      <c r="S6" s="8" t="str">
        <f>"217,5"</f>
        <v>217,5</v>
      </c>
      <c r="T6" s="9" t="str">
        <f>"201,3180"</f>
        <v>201,3180</v>
      </c>
      <c r="U6" s="8" t="s">
        <v>207</v>
      </c>
    </row>
    <row r="8" spans="1:20" ht="15">
      <c r="A8" s="47" t="s">
        <v>218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21" ht="12.75">
      <c r="A9" s="8" t="s">
        <v>498</v>
      </c>
      <c r="B9" s="8" t="s">
        <v>497</v>
      </c>
      <c r="C9" s="8" t="s">
        <v>317</v>
      </c>
      <c r="D9" s="8" t="str">
        <f>"0,8015"</f>
        <v>0,8015</v>
      </c>
      <c r="E9" s="8" t="s">
        <v>221</v>
      </c>
      <c r="F9" s="8" t="s">
        <v>210</v>
      </c>
      <c r="G9" s="9" t="s">
        <v>126</v>
      </c>
      <c r="H9" s="9" t="s">
        <v>23</v>
      </c>
      <c r="I9" s="9" t="s">
        <v>410</v>
      </c>
      <c r="J9" s="49"/>
      <c r="K9" s="9" t="s">
        <v>400</v>
      </c>
      <c r="L9" s="9" t="s">
        <v>496</v>
      </c>
      <c r="M9" s="49" t="s">
        <v>113</v>
      </c>
      <c r="N9" s="49"/>
      <c r="O9" s="9" t="s">
        <v>410</v>
      </c>
      <c r="P9" s="9" t="s">
        <v>31</v>
      </c>
      <c r="Q9" s="9" t="s">
        <v>227</v>
      </c>
      <c r="R9" s="49"/>
      <c r="S9" s="8" t="str">
        <f>"222,5"</f>
        <v>222,5</v>
      </c>
      <c r="T9" s="9" t="str">
        <f>"178,3449"</f>
        <v>178,3449</v>
      </c>
      <c r="U9" s="8" t="s">
        <v>207</v>
      </c>
    </row>
    <row r="11" spans="1:20" ht="15">
      <c r="A11" s="47" t="s">
        <v>57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</row>
    <row r="12" spans="1:21" ht="12.75">
      <c r="A12" s="8" t="s">
        <v>495</v>
      </c>
      <c r="B12" s="8" t="s">
        <v>494</v>
      </c>
      <c r="C12" s="8" t="s">
        <v>493</v>
      </c>
      <c r="D12" s="8" t="str">
        <f>"0,9667"</f>
        <v>0,9667</v>
      </c>
      <c r="E12" s="8" t="s">
        <v>150</v>
      </c>
      <c r="F12" s="8" t="s">
        <v>22</v>
      </c>
      <c r="G12" s="9" t="s">
        <v>129</v>
      </c>
      <c r="H12" s="9" t="s">
        <v>23</v>
      </c>
      <c r="I12" s="9" t="s">
        <v>410</v>
      </c>
      <c r="J12" s="49"/>
      <c r="K12" s="9" t="s">
        <v>376</v>
      </c>
      <c r="L12" s="49" t="s">
        <v>369</v>
      </c>
      <c r="M12" s="49" t="s">
        <v>369</v>
      </c>
      <c r="N12" s="49"/>
      <c r="O12" s="9" t="s">
        <v>23</v>
      </c>
      <c r="P12" s="9" t="s">
        <v>31</v>
      </c>
      <c r="Q12" s="49" t="s">
        <v>214</v>
      </c>
      <c r="R12" s="49"/>
      <c r="S12" s="8" t="str">
        <f>"230,0"</f>
        <v>230,0</v>
      </c>
      <c r="T12" s="9" t="str">
        <f>"262,3624"</f>
        <v>262,3624</v>
      </c>
      <c r="U12" s="8" t="s">
        <v>313</v>
      </c>
    </row>
    <row r="14" spans="1:20" ht="15">
      <c r="A14" s="47" t="s">
        <v>80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</row>
    <row r="15" spans="1:21" ht="12.75">
      <c r="A15" s="21" t="s">
        <v>492</v>
      </c>
      <c r="B15" s="21" t="s">
        <v>491</v>
      </c>
      <c r="C15" s="21" t="s">
        <v>490</v>
      </c>
      <c r="D15" s="21" t="str">
        <f>"0,6906"</f>
        <v>0,6906</v>
      </c>
      <c r="E15" s="21" t="s">
        <v>221</v>
      </c>
      <c r="F15" s="21" t="s">
        <v>210</v>
      </c>
      <c r="G15" s="22" t="s">
        <v>214</v>
      </c>
      <c r="H15" s="22" t="s">
        <v>220</v>
      </c>
      <c r="I15" s="22" t="s">
        <v>219</v>
      </c>
      <c r="J15" s="51"/>
      <c r="K15" s="22" t="s">
        <v>208</v>
      </c>
      <c r="L15" s="22" t="s">
        <v>129</v>
      </c>
      <c r="M15" s="51" t="s">
        <v>126</v>
      </c>
      <c r="N15" s="51"/>
      <c r="O15" s="22" t="s">
        <v>184</v>
      </c>
      <c r="P15" s="22" t="s">
        <v>425</v>
      </c>
      <c r="Q15" s="22" t="s">
        <v>334</v>
      </c>
      <c r="R15" s="51"/>
      <c r="S15" s="21" t="str">
        <f>"315,0"</f>
        <v>315,0</v>
      </c>
      <c r="T15" s="22" t="str">
        <f>"245,8191"</f>
        <v>245,8191</v>
      </c>
      <c r="U15" s="21" t="s">
        <v>207</v>
      </c>
    </row>
    <row r="16" spans="1:21" ht="12.75">
      <c r="A16" s="23" t="s">
        <v>489</v>
      </c>
      <c r="B16" s="23" t="s">
        <v>488</v>
      </c>
      <c r="C16" s="23" t="s">
        <v>487</v>
      </c>
      <c r="D16" s="23" t="str">
        <f>"0,6898"</f>
        <v>0,6898</v>
      </c>
      <c r="E16" s="23" t="s">
        <v>221</v>
      </c>
      <c r="F16" s="23" t="s">
        <v>210</v>
      </c>
      <c r="G16" s="24" t="s">
        <v>23</v>
      </c>
      <c r="H16" s="24" t="s">
        <v>410</v>
      </c>
      <c r="I16" s="24" t="s">
        <v>227</v>
      </c>
      <c r="J16" s="50"/>
      <c r="K16" s="24" t="s">
        <v>129</v>
      </c>
      <c r="L16" s="24" t="s">
        <v>126</v>
      </c>
      <c r="M16" s="50" t="s">
        <v>23</v>
      </c>
      <c r="N16" s="50"/>
      <c r="O16" s="24" t="s">
        <v>184</v>
      </c>
      <c r="P16" s="24" t="s">
        <v>425</v>
      </c>
      <c r="Q16" s="24" t="s">
        <v>180</v>
      </c>
      <c r="R16" s="50"/>
      <c r="S16" s="23" t="str">
        <f>"295,0"</f>
        <v>295,0</v>
      </c>
      <c r="T16" s="24" t="str">
        <f>"219,7703"</f>
        <v>219,7703</v>
      </c>
      <c r="U16" s="23" t="s">
        <v>207</v>
      </c>
    </row>
    <row r="18" spans="1:20" ht="15">
      <c r="A18" s="47" t="s">
        <v>16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</row>
    <row r="19" spans="1:21" ht="12.75">
      <c r="A19" s="8" t="s">
        <v>486</v>
      </c>
      <c r="B19" s="8" t="s">
        <v>485</v>
      </c>
      <c r="C19" s="8" t="s">
        <v>484</v>
      </c>
      <c r="D19" s="8" t="str">
        <f>"0,6382"</f>
        <v>0,6382</v>
      </c>
      <c r="E19" s="8" t="s">
        <v>221</v>
      </c>
      <c r="F19" s="8" t="s">
        <v>210</v>
      </c>
      <c r="G19" s="9" t="s">
        <v>184</v>
      </c>
      <c r="H19" s="9" t="s">
        <v>425</v>
      </c>
      <c r="I19" s="9" t="s">
        <v>180</v>
      </c>
      <c r="J19" s="49"/>
      <c r="K19" s="9" t="s">
        <v>23</v>
      </c>
      <c r="L19" s="9" t="s">
        <v>31</v>
      </c>
      <c r="M19" s="9" t="s">
        <v>227</v>
      </c>
      <c r="N19" s="49"/>
      <c r="O19" s="9" t="s">
        <v>334</v>
      </c>
      <c r="P19" s="9" t="s">
        <v>281</v>
      </c>
      <c r="Q19" s="9" t="s">
        <v>311</v>
      </c>
      <c r="R19" s="49"/>
      <c r="S19" s="8" t="str">
        <f>"370,0"</f>
        <v>370,0</v>
      </c>
      <c r="T19" s="9" t="str">
        <f>"250,3020"</f>
        <v>250,3020</v>
      </c>
      <c r="U19" s="8" t="s">
        <v>207</v>
      </c>
    </row>
    <row r="21" spans="1:20" ht="15">
      <c r="A21" s="47" t="s">
        <v>26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</row>
    <row r="22" spans="1:21" ht="12.75">
      <c r="A22" s="21" t="s">
        <v>413</v>
      </c>
      <c r="B22" s="21" t="s">
        <v>412</v>
      </c>
      <c r="C22" s="21" t="s">
        <v>411</v>
      </c>
      <c r="D22" s="21" t="str">
        <f>"0,5965"</f>
        <v>0,5965</v>
      </c>
      <c r="E22" s="21" t="s">
        <v>62</v>
      </c>
      <c r="F22" s="21" t="s">
        <v>22</v>
      </c>
      <c r="G22" s="22" t="s">
        <v>184</v>
      </c>
      <c r="H22" s="22" t="s">
        <v>425</v>
      </c>
      <c r="I22" s="51" t="s">
        <v>483</v>
      </c>
      <c r="J22" s="51"/>
      <c r="K22" s="22" t="s">
        <v>410</v>
      </c>
      <c r="L22" s="22" t="s">
        <v>307</v>
      </c>
      <c r="M22" s="51"/>
      <c r="N22" s="51"/>
      <c r="O22" s="22" t="s">
        <v>184</v>
      </c>
      <c r="P22" s="22" t="s">
        <v>425</v>
      </c>
      <c r="Q22" s="22" t="s">
        <v>483</v>
      </c>
      <c r="R22" s="51"/>
      <c r="S22" s="21" t="str">
        <f>"330,0"</f>
        <v>330,0</v>
      </c>
      <c r="T22" s="22" t="str">
        <f>"232,2771"</f>
        <v>232,2771</v>
      </c>
      <c r="U22" s="21" t="s">
        <v>65</v>
      </c>
    </row>
    <row r="23" spans="1:21" ht="12.75">
      <c r="A23" s="52" t="s">
        <v>482</v>
      </c>
      <c r="B23" s="52" t="s">
        <v>481</v>
      </c>
      <c r="C23" s="52" t="s">
        <v>480</v>
      </c>
      <c r="D23" s="52" t="str">
        <f>"0,5881"</f>
        <v>0,5881</v>
      </c>
      <c r="E23" s="52" t="s">
        <v>62</v>
      </c>
      <c r="F23" s="52" t="s">
        <v>22</v>
      </c>
      <c r="G23" s="53" t="s">
        <v>219</v>
      </c>
      <c r="H23" s="53" t="s">
        <v>180</v>
      </c>
      <c r="I23" s="53" t="s">
        <v>424</v>
      </c>
      <c r="J23" s="54"/>
      <c r="K23" s="53" t="s">
        <v>344</v>
      </c>
      <c r="L23" s="53" t="s">
        <v>338</v>
      </c>
      <c r="M23" s="53" t="s">
        <v>281</v>
      </c>
      <c r="N23" s="54"/>
      <c r="O23" s="53" t="s">
        <v>338</v>
      </c>
      <c r="P23" s="53" t="s">
        <v>311</v>
      </c>
      <c r="Q23" s="53" t="s">
        <v>201</v>
      </c>
      <c r="R23" s="54"/>
      <c r="S23" s="52" t="str">
        <f>"430,0"</f>
        <v>430,0</v>
      </c>
      <c r="T23" s="53" t="str">
        <f>"268,0560"</f>
        <v>268,0560</v>
      </c>
      <c r="U23" s="52" t="s">
        <v>193</v>
      </c>
    </row>
    <row r="24" spans="1:21" ht="12.75">
      <c r="A24" s="23" t="s">
        <v>479</v>
      </c>
      <c r="B24" s="23" t="s">
        <v>478</v>
      </c>
      <c r="C24" s="23" t="s">
        <v>477</v>
      </c>
      <c r="D24" s="23" t="str">
        <f>"0,5893"</f>
        <v>0,5893</v>
      </c>
      <c r="E24" s="23" t="s">
        <v>90</v>
      </c>
      <c r="F24" s="23" t="s">
        <v>250</v>
      </c>
      <c r="G24" s="50" t="s">
        <v>247</v>
      </c>
      <c r="H24" s="50" t="s">
        <v>247</v>
      </c>
      <c r="I24" s="50" t="s">
        <v>247</v>
      </c>
      <c r="J24" s="50"/>
      <c r="K24" s="50" t="s">
        <v>334</v>
      </c>
      <c r="L24" s="50"/>
      <c r="M24" s="50"/>
      <c r="N24" s="50"/>
      <c r="O24" s="50" t="s">
        <v>205</v>
      </c>
      <c r="P24" s="50"/>
      <c r="Q24" s="50"/>
      <c r="R24" s="50"/>
      <c r="S24" s="23" t="str">
        <f>"0.00"</f>
        <v>0.00</v>
      </c>
      <c r="T24" s="24" t="str">
        <f>"0,0000"</f>
        <v>0,0000</v>
      </c>
      <c r="U24" s="23" t="s">
        <v>33</v>
      </c>
    </row>
    <row r="26" spans="1:20" ht="15">
      <c r="A26" s="47" t="s">
        <v>301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1:21" ht="12.75">
      <c r="A27" s="8" t="s">
        <v>476</v>
      </c>
      <c r="B27" s="8" t="s">
        <v>475</v>
      </c>
      <c r="C27" s="8" t="s">
        <v>474</v>
      </c>
      <c r="D27" s="8" t="str">
        <f>"0,5417"</f>
        <v>0,5417</v>
      </c>
      <c r="E27" s="8" t="s">
        <v>21</v>
      </c>
      <c r="F27" s="8" t="s">
        <v>22</v>
      </c>
      <c r="G27" s="9" t="s">
        <v>219</v>
      </c>
      <c r="H27" s="9" t="s">
        <v>180</v>
      </c>
      <c r="I27" s="9" t="s">
        <v>334</v>
      </c>
      <c r="J27" s="49"/>
      <c r="K27" s="9" t="s">
        <v>219</v>
      </c>
      <c r="L27" s="9" t="s">
        <v>180</v>
      </c>
      <c r="M27" s="9" t="s">
        <v>344</v>
      </c>
      <c r="N27" s="49"/>
      <c r="O27" s="9" t="s">
        <v>139</v>
      </c>
      <c r="P27" s="49" t="s">
        <v>231</v>
      </c>
      <c r="Q27" s="9" t="s">
        <v>167</v>
      </c>
      <c r="R27" s="49"/>
      <c r="S27" s="8" t="str">
        <f>"427,5"</f>
        <v>427,5</v>
      </c>
      <c r="T27" s="9" t="str">
        <f>"474,2692"</f>
        <v>474,2692</v>
      </c>
      <c r="U27" s="8" t="s">
        <v>33</v>
      </c>
    </row>
    <row r="29" spans="5:6" ht="15">
      <c r="E29" s="10" t="s">
        <v>34</v>
      </c>
      <c r="F29" s="28" t="s">
        <v>120</v>
      </c>
    </row>
    <row r="30" spans="5:6" ht="15">
      <c r="E30" s="10" t="s">
        <v>35</v>
      </c>
      <c r="F30" s="28" t="s">
        <v>121</v>
      </c>
    </row>
    <row r="31" spans="5:6" ht="15">
      <c r="E31" s="10" t="s">
        <v>36</v>
      </c>
      <c r="F31" s="28" t="s">
        <v>123</v>
      </c>
    </row>
    <row r="32" spans="5:6" ht="15">
      <c r="E32" s="10" t="s">
        <v>37</v>
      </c>
      <c r="F32" s="28" t="s">
        <v>121</v>
      </c>
    </row>
    <row r="33" spans="1:6" s="3" customFormat="1" ht="15">
      <c r="A33" s="4"/>
      <c r="B33" s="4"/>
      <c r="C33" s="4"/>
      <c r="D33" s="4"/>
      <c r="E33" s="10" t="s">
        <v>37</v>
      </c>
      <c r="F33" s="28" t="s">
        <v>122</v>
      </c>
    </row>
    <row r="34" spans="1:6" s="3" customFormat="1" ht="15">
      <c r="A34" s="4"/>
      <c r="B34" s="4"/>
      <c r="C34" s="4"/>
      <c r="D34" s="4"/>
      <c r="E34" s="10" t="s">
        <v>38</v>
      </c>
      <c r="F34" s="28" t="s">
        <v>124</v>
      </c>
    </row>
    <row r="35" spans="1:6" s="3" customFormat="1" ht="15">
      <c r="A35" s="4"/>
      <c r="B35" s="4"/>
      <c r="C35" s="4"/>
      <c r="D35" s="4"/>
      <c r="E35" s="10"/>
      <c r="F35" s="4"/>
    </row>
    <row r="37" spans="1:6" s="3" customFormat="1" ht="18">
      <c r="A37" s="11" t="s">
        <v>39</v>
      </c>
      <c r="B37" s="11"/>
      <c r="C37" s="4"/>
      <c r="D37" s="4"/>
      <c r="E37" s="4"/>
      <c r="F37" s="4"/>
    </row>
    <row r="38" spans="1:6" s="3" customFormat="1" ht="15">
      <c r="A38" s="12" t="s">
        <v>72</v>
      </c>
      <c r="B38" s="12"/>
      <c r="C38" s="4"/>
      <c r="D38" s="4"/>
      <c r="E38" s="4"/>
      <c r="F38" s="4"/>
    </row>
    <row r="39" spans="1:6" s="3" customFormat="1" ht="14.25">
      <c r="A39" s="14"/>
      <c r="B39" s="15" t="s">
        <v>41</v>
      </c>
      <c r="C39" s="4"/>
      <c r="D39" s="4"/>
      <c r="E39" s="4"/>
      <c r="F39" s="4"/>
    </row>
    <row r="40" spans="1:6" s="3" customFormat="1" ht="15">
      <c r="A40" s="16" t="s">
        <v>42</v>
      </c>
      <c r="B40" s="16" t="s">
        <v>43</v>
      </c>
      <c r="C40" s="16" t="s">
        <v>44</v>
      </c>
      <c r="D40" s="16" t="s">
        <v>45</v>
      </c>
      <c r="E40" s="16" t="s">
        <v>128</v>
      </c>
      <c r="F40" s="4"/>
    </row>
    <row r="41" spans="1:6" s="3" customFormat="1" ht="12.75">
      <c r="A41" s="13" t="s">
        <v>473</v>
      </c>
      <c r="B41" s="4" t="s">
        <v>41</v>
      </c>
      <c r="C41" s="4" t="s">
        <v>76</v>
      </c>
      <c r="D41" s="4" t="s">
        <v>472</v>
      </c>
      <c r="E41" s="17" t="s">
        <v>471</v>
      </c>
      <c r="F41" s="4"/>
    </row>
    <row r="43" spans="1:6" s="3" customFormat="1" ht="14.25">
      <c r="A43" s="14"/>
      <c r="B43" s="15" t="s">
        <v>116</v>
      </c>
      <c r="C43" s="4"/>
      <c r="D43" s="4"/>
      <c r="E43" s="4"/>
      <c r="F43" s="4"/>
    </row>
    <row r="44" spans="1:6" s="3" customFormat="1" ht="15">
      <c r="A44" s="16" t="s">
        <v>42</v>
      </c>
      <c r="B44" s="16" t="s">
        <v>43</v>
      </c>
      <c r="C44" s="16" t="s">
        <v>44</v>
      </c>
      <c r="D44" s="16" t="s">
        <v>45</v>
      </c>
      <c r="E44" s="16" t="s">
        <v>128</v>
      </c>
      <c r="F44" s="4"/>
    </row>
    <row r="45" spans="1:6" s="3" customFormat="1" ht="12.75">
      <c r="A45" s="13" t="s">
        <v>470</v>
      </c>
      <c r="B45" s="4" t="s">
        <v>145</v>
      </c>
      <c r="C45" s="4" t="s">
        <v>185</v>
      </c>
      <c r="D45" s="4" t="s">
        <v>469</v>
      </c>
      <c r="E45" s="17" t="s">
        <v>468</v>
      </c>
      <c r="F45" s="4"/>
    </row>
    <row r="48" spans="1:6" s="3" customFormat="1" ht="15">
      <c r="A48" s="12" t="s">
        <v>40</v>
      </c>
      <c r="B48" s="12"/>
      <c r="C48" s="4"/>
      <c r="D48" s="4"/>
      <c r="E48" s="4"/>
      <c r="F48" s="4"/>
    </row>
    <row r="49" spans="1:5" s="3" customFormat="1" ht="14.25">
      <c r="A49" s="14"/>
      <c r="B49" s="15" t="s">
        <v>178</v>
      </c>
      <c r="C49" s="4"/>
      <c r="D49" s="4"/>
      <c r="E49" s="4"/>
    </row>
    <row r="50" spans="1:5" s="3" customFormat="1" ht="15">
      <c r="A50" s="16" t="s">
        <v>42</v>
      </c>
      <c r="B50" s="16" t="s">
        <v>43</v>
      </c>
      <c r="C50" s="16" t="s">
        <v>44</v>
      </c>
      <c r="D50" s="16" t="s">
        <v>45</v>
      </c>
      <c r="E50" s="16" t="s">
        <v>128</v>
      </c>
    </row>
    <row r="51" spans="1:5" s="3" customFormat="1" ht="12.75">
      <c r="A51" s="13" t="s">
        <v>467</v>
      </c>
      <c r="B51" s="4" t="s">
        <v>176</v>
      </c>
      <c r="C51" s="4" t="s">
        <v>47</v>
      </c>
      <c r="D51" s="4" t="s">
        <v>466</v>
      </c>
      <c r="E51" s="17" t="s">
        <v>465</v>
      </c>
    </row>
    <row r="52" spans="1:5" s="3" customFormat="1" ht="12.75">
      <c r="A52" s="13" t="s">
        <v>464</v>
      </c>
      <c r="B52" s="4" t="s">
        <v>172</v>
      </c>
      <c r="C52" s="4" t="s">
        <v>73</v>
      </c>
      <c r="D52" s="4" t="s">
        <v>249</v>
      </c>
      <c r="E52" s="17" t="s">
        <v>463</v>
      </c>
    </row>
    <row r="53" spans="1:5" s="3" customFormat="1" ht="12.75">
      <c r="A53" s="13" t="s">
        <v>462</v>
      </c>
      <c r="B53" s="4" t="s">
        <v>176</v>
      </c>
      <c r="C53" s="4" t="s">
        <v>50</v>
      </c>
      <c r="D53" s="4" t="s">
        <v>461</v>
      </c>
      <c r="E53" s="17" t="s">
        <v>460</v>
      </c>
    </row>
    <row r="54" spans="1:5" s="3" customFormat="1" ht="12.75">
      <c r="A54" s="13" t="s">
        <v>459</v>
      </c>
      <c r="B54" s="4" t="s">
        <v>359</v>
      </c>
      <c r="C54" s="4" t="s">
        <v>102</v>
      </c>
      <c r="D54" s="4" t="s">
        <v>236</v>
      </c>
      <c r="E54" s="17" t="s">
        <v>458</v>
      </c>
    </row>
    <row r="55" spans="1:5" s="3" customFormat="1" ht="12.75">
      <c r="A55" s="13" t="s">
        <v>362</v>
      </c>
      <c r="B55" s="4" t="s">
        <v>172</v>
      </c>
      <c r="C55" s="4" t="s">
        <v>47</v>
      </c>
      <c r="D55" s="4" t="s">
        <v>457</v>
      </c>
      <c r="E55" s="17" t="s">
        <v>456</v>
      </c>
    </row>
    <row r="56" spans="1:5" s="3" customFormat="1" ht="12.75">
      <c r="A56" s="13" t="s">
        <v>455</v>
      </c>
      <c r="B56" s="4" t="s">
        <v>359</v>
      </c>
      <c r="C56" s="4" t="s">
        <v>102</v>
      </c>
      <c r="D56" s="4" t="s">
        <v>454</v>
      </c>
      <c r="E56" s="17" t="s">
        <v>453</v>
      </c>
    </row>
    <row r="58" spans="1:5" s="3" customFormat="1" ht="14.25">
      <c r="A58" s="14"/>
      <c r="B58" s="15" t="s">
        <v>116</v>
      </c>
      <c r="C58" s="4"/>
      <c r="D58" s="4"/>
      <c r="E58" s="4"/>
    </row>
    <row r="59" spans="1:5" s="3" customFormat="1" ht="15">
      <c r="A59" s="16" t="s">
        <v>42</v>
      </c>
      <c r="B59" s="16" t="s">
        <v>43</v>
      </c>
      <c r="C59" s="16" t="s">
        <v>44</v>
      </c>
      <c r="D59" s="16" t="s">
        <v>45</v>
      </c>
      <c r="E59" s="16" t="s">
        <v>128</v>
      </c>
    </row>
    <row r="60" spans="1:5" s="3" customFormat="1" ht="12.75">
      <c r="A60" s="13" t="s">
        <v>452</v>
      </c>
      <c r="B60" s="4" t="s">
        <v>164</v>
      </c>
      <c r="C60" s="4" t="s">
        <v>286</v>
      </c>
      <c r="D60" s="4" t="s">
        <v>451</v>
      </c>
      <c r="E60" s="17" t="s">
        <v>450</v>
      </c>
    </row>
  </sheetData>
  <sheetProtection/>
  <mergeCells count="20">
    <mergeCell ref="U3:U4"/>
    <mergeCell ref="A5:T5"/>
    <mergeCell ref="A8:T8"/>
    <mergeCell ref="A11:T11"/>
    <mergeCell ref="A1:U2"/>
    <mergeCell ref="A3:A4"/>
    <mergeCell ref="B3:B4"/>
    <mergeCell ref="C3:C4"/>
    <mergeCell ref="D3:D4"/>
    <mergeCell ref="E3:E4"/>
    <mergeCell ref="A14:T14"/>
    <mergeCell ref="A18:T18"/>
    <mergeCell ref="A21:T21"/>
    <mergeCell ref="A26:T26"/>
    <mergeCell ref="S3:S4"/>
    <mergeCell ref="T3:T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K22" sqref="K22"/>
    </sheetView>
  </sheetViews>
  <sheetFormatPr defaultColWidth="9.00390625" defaultRowHeight="12.75"/>
  <cols>
    <col min="1" max="1" width="26.00390625" style="4" bestFit="1" customWidth="1"/>
    <col min="2" max="2" width="27.7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6.00390625" style="4" bestFit="1" customWidth="1"/>
    <col min="7" max="9" width="5.625" style="3" bestFit="1" customWidth="1"/>
    <col min="10" max="10" width="4.875" style="3" bestFit="1" customWidth="1"/>
    <col min="11" max="13" width="4.625" style="3" bestFit="1" customWidth="1"/>
    <col min="14" max="14" width="4.875" style="3" bestFit="1" customWidth="1"/>
    <col min="15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15.25390625" style="4" bestFit="1" customWidth="1"/>
    <col min="22" max="16384" width="9.125" style="3" customWidth="1"/>
  </cols>
  <sheetData>
    <row r="1" spans="1:21" s="2" customFormat="1" ht="28.5" customHeight="1">
      <c r="A1" s="46" t="s">
        <v>510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s="1" customFormat="1" ht="12.75" customHeight="1">
      <c r="A3" s="39" t="s">
        <v>0</v>
      </c>
      <c r="B3" s="41" t="s">
        <v>10</v>
      </c>
      <c r="C3" s="41" t="s">
        <v>11</v>
      </c>
      <c r="D3" s="43" t="s">
        <v>135</v>
      </c>
      <c r="E3" s="43" t="s">
        <v>7</v>
      </c>
      <c r="F3" s="43" t="s">
        <v>12</v>
      </c>
      <c r="G3" s="43" t="s">
        <v>134</v>
      </c>
      <c r="H3" s="43"/>
      <c r="I3" s="43"/>
      <c r="J3" s="43"/>
      <c r="K3" s="43" t="s">
        <v>244</v>
      </c>
      <c r="L3" s="43"/>
      <c r="M3" s="43"/>
      <c r="N3" s="43"/>
      <c r="O3" s="43" t="s">
        <v>155</v>
      </c>
      <c r="P3" s="43"/>
      <c r="Q3" s="43"/>
      <c r="R3" s="43"/>
      <c r="S3" s="43" t="s">
        <v>4</v>
      </c>
      <c r="T3" s="43" t="s">
        <v>6</v>
      </c>
      <c r="U3" s="31" t="s">
        <v>5</v>
      </c>
    </row>
    <row r="4" spans="1:21" s="1" customFormat="1" ht="21" customHeight="1" thickBot="1">
      <c r="A4" s="40"/>
      <c r="B4" s="42"/>
      <c r="C4" s="42"/>
      <c r="D4" s="42"/>
      <c r="E4" s="42"/>
      <c r="F4" s="42"/>
      <c r="G4" s="27">
        <v>1</v>
      </c>
      <c r="H4" s="27">
        <v>2</v>
      </c>
      <c r="I4" s="27">
        <v>3</v>
      </c>
      <c r="J4" s="27" t="s">
        <v>8</v>
      </c>
      <c r="K4" s="27">
        <v>1</v>
      </c>
      <c r="L4" s="27">
        <v>2</v>
      </c>
      <c r="M4" s="27">
        <v>3</v>
      </c>
      <c r="N4" s="27" t="s">
        <v>8</v>
      </c>
      <c r="O4" s="27">
        <v>1</v>
      </c>
      <c r="P4" s="27">
        <v>2</v>
      </c>
      <c r="Q4" s="27">
        <v>3</v>
      </c>
      <c r="R4" s="27" t="s">
        <v>8</v>
      </c>
      <c r="S4" s="42"/>
      <c r="T4" s="42"/>
      <c r="U4" s="32"/>
    </row>
    <row r="5" spans="1:20" ht="15">
      <c r="A5" s="44" t="s">
        <v>254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1" ht="12.75">
      <c r="A6" s="8" t="s">
        <v>509</v>
      </c>
      <c r="B6" s="8" t="s">
        <v>508</v>
      </c>
      <c r="C6" s="8" t="s">
        <v>507</v>
      </c>
      <c r="D6" s="8" t="str">
        <f>"0,5737"</f>
        <v>0,5737</v>
      </c>
      <c r="E6" s="8" t="s">
        <v>90</v>
      </c>
      <c r="F6" s="8" t="s">
        <v>22</v>
      </c>
      <c r="G6" s="9" t="s">
        <v>338</v>
      </c>
      <c r="H6" s="9" t="s">
        <v>302</v>
      </c>
      <c r="I6" s="49" t="s">
        <v>311</v>
      </c>
      <c r="J6" s="49"/>
      <c r="K6" s="9" t="s">
        <v>126</v>
      </c>
      <c r="L6" s="9" t="s">
        <v>410</v>
      </c>
      <c r="M6" s="49" t="s">
        <v>272</v>
      </c>
      <c r="N6" s="49"/>
      <c r="O6" s="9" t="s">
        <v>302</v>
      </c>
      <c r="P6" s="9" t="s">
        <v>395</v>
      </c>
      <c r="Q6" s="9" t="s">
        <v>167</v>
      </c>
      <c r="R6" s="49"/>
      <c r="S6" s="8" t="str">
        <f>"400,0"</f>
        <v>400,0</v>
      </c>
      <c r="T6" s="9" t="str">
        <f>"259,3124"</f>
        <v>259,3124</v>
      </c>
      <c r="U6" s="8" t="s">
        <v>506</v>
      </c>
    </row>
    <row r="8" spans="5:6" ht="15">
      <c r="E8" s="10" t="s">
        <v>34</v>
      </c>
      <c r="F8" s="28" t="s">
        <v>120</v>
      </c>
    </row>
    <row r="9" spans="5:6" ht="15">
      <c r="E9" s="10" t="s">
        <v>35</v>
      </c>
      <c r="F9" s="28" t="s">
        <v>121</v>
      </c>
    </row>
    <row r="10" spans="5:6" ht="15">
      <c r="E10" s="10" t="s">
        <v>36</v>
      </c>
      <c r="F10" s="28" t="s">
        <v>123</v>
      </c>
    </row>
    <row r="11" spans="5:6" ht="15">
      <c r="E11" s="10" t="s">
        <v>37</v>
      </c>
      <c r="F11" s="28" t="s">
        <v>121</v>
      </c>
    </row>
    <row r="12" spans="5:6" ht="15">
      <c r="E12" s="10" t="s">
        <v>37</v>
      </c>
      <c r="F12" s="28" t="s">
        <v>122</v>
      </c>
    </row>
    <row r="13" spans="5:6" ht="15">
      <c r="E13" s="10" t="s">
        <v>38</v>
      </c>
      <c r="F13" s="28" t="s">
        <v>124</v>
      </c>
    </row>
    <row r="14" ht="15">
      <c r="E14" s="10"/>
    </row>
    <row r="16" spans="1:2" ht="18">
      <c r="A16" s="11" t="s">
        <v>39</v>
      </c>
      <c r="B16" s="11"/>
    </row>
    <row r="17" spans="1:5" s="3" customFormat="1" ht="15">
      <c r="A17" s="12" t="s">
        <v>40</v>
      </c>
      <c r="B17" s="12"/>
      <c r="C17" s="4"/>
      <c r="D17" s="4"/>
      <c r="E17" s="4"/>
    </row>
    <row r="18" spans="1:5" s="3" customFormat="1" ht="14.25">
      <c r="A18" s="14"/>
      <c r="B18" s="15" t="s">
        <v>178</v>
      </c>
      <c r="C18" s="4"/>
      <c r="D18" s="4"/>
      <c r="E18" s="4"/>
    </row>
    <row r="19" spans="1:5" s="3" customFormat="1" ht="15">
      <c r="A19" s="16" t="s">
        <v>42</v>
      </c>
      <c r="B19" s="16" t="s">
        <v>43</v>
      </c>
      <c r="C19" s="16" t="s">
        <v>44</v>
      </c>
      <c r="D19" s="16" t="s">
        <v>45</v>
      </c>
      <c r="E19" s="16" t="s">
        <v>128</v>
      </c>
    </row>
    <row r="20" spans="1:5" s="3" customFormat="1" ht="12.75">
      <c r="A20" s="13" t="s">
        <v>505</v>
      </c>
      <c r="B20" s="4" t="s">
        <v>359</v>
      </c>
      <c r="C20" s="4" t="s">
        <v>257</v>
      </c>
      <c r="D20" s="4" t="s">
        <v>504</v>
      </c>
      <c r="E20" s="17" t="s">
        <v>503</v>
      </c>
    </row>
  </sheetData>
  <sheetProtection/>
  <mergeCells count="14">
    <mergeCell ref="F3:F4"/>
    <mergeCell ref="G3:J3"/>
    <mergeCell ref="K3:N3"/>
    <mergeCell ref="O3:R3"/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F31" sqref="F31"/>
    </sheetView>
  </sheetViews>
  <sheetFormatPr defaultColWidth="9.00390625" defaultRowHeight="12.75"/>
  <cols>
    <col min="1" max="1" width="26.00390625" style="4" bestFit="1" customWidth="1"/>
    <col min="2" max="2" width="28.37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6.0039062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21.125" style="4" bestFit="1" customWidth="1"/>
    <col min="22" max="16384" width="9.125" style="3" customWidth="1"/>
  </cols>
  <sheetData>
    <row r="1" spans="1:21" s="2" customFormat="1" ht="28.5" customHeight="1">
      <c r="A1" s="46" t="s">
        <v>526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s="1" customFormat="1" ht="12.75" customHeight="1">
      <c r="A3" s="39" t="s">
        <v>0</v>
      </c>
      <c r="B3" s="41" t="s">
        <v>10</v>
      </c>
      <c r="C3" s="41" t="s">
        <v>11</v>
      </c>
      <c r="D3" s="43" t="s">
        <v>135</v>
      </c>
      <c r="E3" s="43" t="s">
        <v>7</v>
      </c>
      <c r="F3" s="43" t="s">
        <v>12</v>
      </c>
      <c r="G3" s="43" t="s">
        <v>134</v>
      </c>
      <c r="H3" s="43"/>
      <c r="I3" s="43"/>
      <c r="J3" s="43"/>
      <c r="K3" s="43" t="s">
        <v>244</v>
      </c>
      <c r="L3" s="43"/>
      <c r="M3" s="43"/>
      <c r="N3" s="43"/>
      <c r="O3" s="43" t="s">
        <v>155</v>
      </c>
      <c r="P3" s="43"/>
      <c r="Q3" s="43"/>
      <c r="R3" s="43"/>
      <c r="S3" s="43" t="s">
        <v>4</v>
      </c>
      <c r="T3" s="43" t="s">
        <v>6</v>
      </c>
      <c r="U3" s="31" t="s">
        <v>5</v>
      </c>
    </row>
    <row r="4" spans="1:21" s="1" customFormat="1" ht="21" customHeight="1" thickBot="1">
      <c r="A4" s="40"/>
      <c r="B4" s="42"/>
      <c r="C4" s="42"/>
      <c r="D4" s="42"/>
      <c r="E4" s="42"/>
      <c r="F4" s="42"/>
      <c r="G4" s="27">
        <v>1</v>
      </c>
      <c r="H4" s="27">
        <v>2</v>
      </c>
      <c r="I4" s="27">
        <v>3</v>
      </c>
      <c r="J4" s="27" t="s">
        <v>8</v>
      </c>
      <c r="K4" s="27">
        <v>1</v>
      </c>
      <c r="L4" s="27">
        <v>2</v>
      </c>
      <c r="M4" s="27">
        <v>3</v>
      </c>
      <c r="N4" s="27" t="s">
        <v>8</v>
      </c>
      <c r="O4" s="27">
        <v>1</v>
      </c>
      <c r="P4" s="27">
        <v>2</v>
      </c>
      <c r="Q4" s="27">
        <v>3</v>
      </c>
      <c r="R4" s="27" t="s">
        <v>8</v>
      </c>
      <c r="S4" s="42"/>
      <c r="T4" s="42"/>
      <c r="U4" s="32"/>
    </row>
    <row r="5" spans="1:20" ht="15">
      <c r="A5" s="44" t="s">
        <v>254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1" ht="12.75">
      <c r="A6" s="8" t="s">
        <v>525</v>
      </c>
      <c r="B6" s="8" t="s">
        <v>524</v>
      </c>
      <c r="C6" s="8" t="s">
        <v>523</v>
      </c>
      <c r="D6" s="8" t="str">
        <f>"0,5624"</f>
        <v>0,5624</v>
      </c>
      <c r="E6" s="8" t="s">
        <v>21</v>
      </c>
      <c r="F6" s="8" t="s">
        <v>22</v>
      </c>
      <c r="G6" s="9" t="s">
        <v>189</v>
      </c>
      <c r="H6" s="9" t="s">
        <v>520</v>
      </c>
      <c r="I6" s="9" t="s">
        <v>175</v>
      </c>
      <c r="J6" s="49"/>
      <c r="K6" s="9" t="s">
        <v>522</v>
      </c>
      <c r="L6" s="9" t="s">
        <v>521</v>
      </c>
      <c r="M6" s="9" t="s">
        <v>230</v>
      </c>
      <c r="N6" s="49"/>
      <c r="O6" s="49" t="s">
        <v>520</v>
      </c>
      <c r="P6" s="49" t="s">
        <v>249</v>
      </c>
      <c r="Q6" s="49" t="s">
        <v>515</v>
      </c>
      <c r="R6" s="49"/>
      <c r="S6" s="8" t="str">
        <f>"0.00"</f>
        <v>0.00</v>
      </c>
      <c r="T6" s="9" t="str">
        <f>"0,0000"</f>
        <v>0,0000</v>
      </c>
      <c r="U6" s="8" t="s">
        <v>33</v>
      </c>
    </row>
    <row r="8" spans="1:20" ht="15">
      <c r="A8" s="47" t="s">
        <v>301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21" ht="12.75">
      <c r="A9" s="8" t="s">
        <v>519</v>
      </c>
      <c r="B9" s="8" t="s">
        <v>518</v>
      </c>
      <c r="C9" s="8" t="s">
        <v>517</v>
      </c>
      <c r="D9" s="8" t="str">
        <f>"0,5382"</f>
        <v>0,5382</v>
      </c>
      <c r="E9" s="8" t="s">
        <v>21</v>
      </c>
      <c r="F9" s="8" t="s">
        <v>22</v>
      </c>
      <c r="G9" s="9" t="s">
        <v>516</v>
      </c>
      <c r="H9" s="9" t="s">
        <v>515</v>
      </c>
      <c r="I9" s="9" t="s">
        <v>262</v>
      </c>
      <c r="J9" s="49"/>
      <c r="K9" s="49" t="s">
        <v>311</v>
      </c>
      <c r="L9" s="9" t="s">
        <v>395</v>
      </c>
      <c r="M9" s="9" t="s">
        <v>231</v>
      </c>
      <c r="N9" s="49"/>
      <c r="O9" s="9" t="s">
        <v>515</v>
      </c>
      <c r="P9" s="9" t="s">
        <v>262</v>
      </c>
      <c r="Q9" s="49" t="s">
        <v>234</v>
      </c>
      <c r="R9" s="49"/>
      <c r="S9" s="8" t="str">
        <f>"685,0"</f>
        <v>685,0</v>
      </c>
      <c r="T9" s="9" t="str">
        <f>"368,6670"</f>
        <v>368,6670</v>
      </c>
      <c r="U9" s="8" t="s">
        <v>514</v>
      </c>
    </row>
    <row r="11" spans="5:6" ht="15">
      <c r="E11" s="10" t="s">
        <v>34</v>
      </c>
      <c r="F11" s="28" t="s">
        <v>120</v>
      </c>
    </row>
    <row r="12" spans="5:6" ht="15">
      <c r="E12" s="10" t="s">
        <v>35</v>
      </c>
      <c r="F12" s="28" t="s">
        <v>121</v>
      </c>
    </row>
    <row r="13" spans="5:6" ht="15">
      <c r="E13" s="10" t="s">
        <v>36</v>
      </c>
      <c r="F13" s="28" t="s">
        <v>123</v>
      </c>
    </row>
    <row r="14" spans="5:6" ht="15">
      <c r="E14" s="10" t="s">
        <v>37</v>
      </c>
      <c r="F14" s="28" t="s">
        <v>121</v>
      </c>
    </row>
    <row r="15" spans="5:6" ht="15">
      <c r="E15" s="10" t="s">
        <v>37</v>
      </c>
      <c r="F15" s="28" t="s">
        <v>122</v>
      </c>
    </row>
    <row r="16" spans="5:6" ht="15">
      <c r="E16" s="10" t="s">
        <v>38</v>
      </c>
      <c r="F16" s="28" t="s">
        <v>124</v>
      </c>
    </row>
    <row r="17" spans="1:5" s="3" customFormat="1" ht="15">
      <c r="A17" s="4"/>
      <c r="B17" s="4"/>
      <c r="C17" s="4"/>
      <c r="D17" s="4"/>
      <c r="E17" s="10"/>
    </row>
    <row r="19" spans="1:5" s="3" customFormat="1" ht="18">
      <c r="A19" s="11" t="s">
        <v>39</v>
      </c>
      <c r="B19" s="11"/>
      <c r="C19" s="4"/>
      <c r="D19" s="4"/>
      <c r="E19" s="4"/>
    </row>
    <row r="20" spans="1:5" s="3" customFormat="1" ht="15">
      <c r="A20" s="12" t="s">
        <v>40</v>
      </c>
      <c r="B20" s="12"/>
      <c r="C20" s="4"/>
      <c r="D20" s="4"/>
      <c r="E20" s="4"/>
    </row>
    <row r="21" spans="1:5" s="3" customFormat="1" ht="14.25">
      <c r="A21" s="14"/>
      <c r="B21" s="15" t="s">
        <v>41</v>
      </c>
      <c r="C21" s="4"/>
      <c r="D21" s="4"/>
      <c r="E21" s="4"/>
    </row>
    <row r="22" spans="1:5" s="3" customFormat="1" ht="15">
      <c r="A22" s="16" t="s">
        <v>42</v>
      </c>
      <c r="B22" s="16" t="s">
        <v>43</v>
      </c>
      <c r="C22" s="16" t="s">
        <v>44</v>
      </c>
      <c r="D22" s="16" t="s">
        <v>45</v>
      </c>
      <c r="E22" s="16" t="s">
        <v>128</v>
      </c>
    </row>
    <row r="23" spans="1:5" s="3" customFormat="1" ht="12.75">
      <c r="A23" s="13" t="s">
        <v>513</v>
      </c>
      <c r="B23" s="4" t="s">
        <v>41</v>
      </c>
      <c r="C23" s="4" t="s">
        <v>286</v>
      </c>
      <c r="D23" s="4" t="s">
        <v>512</v>
      </c>
      <c r="E23" s="17" t="s">
        <v>511</v>
      </c>
    </row>
  </sheetData>
  <sheetProtection/>
  <mergeCells count="15">
    <mergeCell ref="K3:N3"/>
    <mergeCell ref="O3:R3"/>
    <mergeCell ref="S3:S4"/>
    <mergeCell ref="T3:T4"/>
    <mergeCell ref="U3:U4"/>
    <mergeCell ref="A5:T5"/>
    <mergeCell ref="A8:T8"/>
    <mergeCell ref="A1:U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33.625" style="4" bestFit="1" customWidth="1"/>
    <col min="7" max="7" width="4.625" style="3" bestFit="1" customWidth="1"/>
    <col min="8" max="8" width="4.625" style="20" bestFit="1" customWidth="1"/>
    <col min="9" max="9" width="7.875" style="4" bestFit="1" customWidth="1"/>
    <col min="10" max="10" width="9.625" style="3" bestFit="1" customWidth="1"/>
    <col min="11" max="11" width="19.00390625" style="4" bestFit="1" customWidth="1"/>
    <col min="12" max="16384" width="9.125" style="3" customWidth="1"/>
  </cols>
  <sheetData>
    <row r="1" spans="1:11" s="2" customFormat="1" ht="28.5" customHeight="1">
      <c r="A1" s="46" t="s">
        <v>107</v>
      </c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1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8"/>
    </row>
    <row r="3" spans="1:11" s="1" customFormat="1" ht="12.75" customHeight="1">
      <c r="A3" s="39" t="s">
        <v>0</v>
      </c>
      <c r="B3" s="41" t="s">
        <v>10</v>
      </c>
      <c r="C3" s="41" t="s">
        <v>11</v>
      </c>
      <c r="D3" s="43" t="s">
        <v>14</v>
      </c>
      <c r="E3" s="43" t="s">
        <v>7</v>
      </c>
      <c r="F3" s="43" t="s">
        <v>12</v>
      </c>
      <c r="G3" s="43" t="s">
        <v>15</v>
      </c>
      <c r="H3" s="43"/>
      <c r="I3" s="43" t="s">
        <v>55</v>
      </c>
      <c r="J3" s="43" t="s">
        <v>6</v>
      </c>
      <c r="K3" s="31" t="s">
        <v>5</v>
      </c>
    </row>
    <row r="4" spans="1:11" s="1" customFormat="1" ht="21" customHeight="1" thickBot="1">
      <c r="A4" s="40"/>
      <c r="B4" s="42"/>
      <c r="C4" s="42"/>
      <c r="D4" s="42"/>
      <c r="E4" s="42"/>
      <c r="F4" s="42"/>
      <c r="G4" s="7" t="s">
        <v>53</v>
      </c>
      <c r="H4" s="18" t="s">
        <v>54</v>
      </c>
      <c r="I4" s="42"/>
      <c r="J4" s="42"/>
      <c r="K4" s="32"/>
    </row>
    <row r="5" spans="1:10" ht="15">
      <c r="A5" s="44" t="s">
        <v>26</v>
      </c>
      <c r="B5" s="45"/>
      <c r="C5" s="45"/>
      <c r="D5" s="45"/>
      <c r="E5" s="45"/>
      <c r="F5" s="45"/>
      <c r="G5" s="45"/>
      <c r="H5" s="45"/>
      <c r="I5" s="45"/>
      <c r="J5" s="45"/>
    </row>
    <row r="6" spans="1:11" ht="12.75">
      <c r="A6" s="8" t="s">
        <v>109</v>
      </c>
      <c r="B6" s="8" t="s">
        <v>110</v>
      </c>
      <c r="C6" s="8" t="s">
        <v>111</v>
      </c>
      <c r="D6" s="8" t="str">
        <f>"0,7169"</f>
        <v>0,7169</v>
      </c>
      <c r="E6" s="8" t="s">
        <v>90</v>
      </c>
      <c r="F6" s="8" t="s">
        <v>112</v>
      </c>
      <c r="G6" s="9" t="s">
        <v>113</v>
      </c>
      <c r="H6" s="19" t="s">
        <v>114</v>
      </c>
      <c r="I6" s="8" t="str">
        <f>"1575,0"</f>
        <v>1575,0</v>
      </c>
      <c r="J6" s="9" t="str">
        <f>"1129,1175"</f>
        <v>1129,1175</v>
      </c>
      <c r="K6" s="8" t="s">
        <v>115</v>
      </c>
    </row>
    <row r="8" spans="5:6" ht="15">
      <c r="E8" s="10" t="s">
        <v>34</v>
      </c>
      <c r="F8" s="28" t="s">
        <v>120</v>
      </c>
    </row>
    <row r="9" spans="5:6" ht="15">
      <c r="E9" s="10" t="s">
        <v>35</v>
      </c>
      <c r="F9" s="28" t="s">
        <v>121</v>
      </c>
    </row>
    <row r="10" spans="5:6" ht="15">
      <c r="E10" s="10" t="s">
        <v>36</v>
      </c>
      <c r="F10" s="28" t="s">
        <v>122</v>
      </c>
    </row>
    <row r="11" spans="5:6" ht="15">
      <c r="E11" s="10" t="s">
        <v>37</v>
      </c>
      <c r="F11" s="28" t="s">
        <v>123</v>
      </c>
    </row>
    <row r="12" spans="5:6" ht="15">
      <c r="E12" s="10" t="s">
        <v>37</v>
      </c>
      <c r="F12" s="28" t="s">
        <v>121</v>
      </c>
    </row>
    <row r="13" spans="5:6" ht="15">
      <c r="E13" s="10" t="s">
        <v>38</v>
      </c>
      <c r="F13" s="28" t="s">
        <v>124</v>
      </c>
    </row>
    <row r="14" ht="15">
      <c r="E14" s="10"/>
    </row>
    <row r="16" spans="1:2" ht="18">
      <c r="A16" s="11" t="s">
        <v>39</v>
      </c>
      <c r="B16" s="11"/>
    </row>
    <row r="17" spans="1:2" ht="15">
      <c r="A17" s="12" t="s">
        <v>40</v>
      </c>
      <c r="B17" s="12"/>
    </row>
    <row r="18" spans="1:2" ht="14.25">
      <c r="A18" s="14"/>
      <c r="B18" s="15" t="s">
        <v>116</v>
      </c>
    </row>
    <row r="19" spans="1:5" ht="15">
      <c r="A19" s="16" t="s">
        <v>42</v>
      </c>
      <c r="B19" s="16" t="s">
        <v>43</v>
      </c>
      <c r="C19" s="16" t="s">
        <v>44</v>
      </c>
      <c r="D19" s="16" t="s">
        <v>45</v>
      </c>
      <c r="E19" s="16" t="s">
        <v>46</v>
      </c>
    </row>
    <row r="20" spans="1:5" ht="12.75">
      <c r="A20" s="13" t="s">
        <v>108</v>
      </c>
      <c r="B20" s="4" t="s">
        <v>117</v>
      </c>
      <c r="C20" s="4" t="s">
        <v>47</v>
      </c>
      <c r="D20" s="4" t="s">
        <v>118</v>
      </c>
      <c r="E20" s="17" t="s">
        <v>119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3.625" style="4" bestFit="1" customWidth="1"/>
    <col min="7" max="9" width="5.625" style="3" bestFit="1" customWidth="1"/>
    <col min="10" max="10" width="4.875" style="3" bestFit="1" customWidth="1"/>
    <col min="11" max="13" width="4.625" style="3" bestFit="1" customWidth="1"/>
    <col min="14" max="14" width="4.875" style="3" bestFit="1" customWidth="1"/>
    <col min="15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19.00390625" style="4" bestFit="1" customWidth="1"/>
    <col min="22" max="16384" width="9.125" style="3" customWidth="1"/>
  </cols>
  <sheetData>
    <row r="1" spans="1:21" s="2" customFormat="1" ht="28.5" customHeight="1">
      <c r="A1" s="46" t="s">
        <v>529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s="1" customFormat="1" ht="12.75" customHeight="1">
      <c r="A3" s="39" t="s">
        <v>0</v>
      </c>
      <c r="B3" s="41" t="s">
        <v>10</v>
      </c>
      <c r="C3" s="41" t="s">
        <v>11</v>
      </c>
      <c r="D3" s="43" t="s">
        <v>135</v>
      </c>
      <c r="E3" s="43" t="s">
        <v>7</v>
      </c>
      <c r="F3" s="43" t="s">
        <v>12</v>
      </c>
      <c r="G3" s="43" t="s">
        <v>134</v>
      </c>
      <c r="H3" s="43"/>
      <c r="I3" s="43"/>
      <c r="J3" s="43"/>
      <c r="K3" s="43" t="s">
        <v>244</v>
      </c>
      <c r="L3" s="43"/>
      <c r="M3" s="43"/>
      <c r="N3" s="43"/>
      <c r="O3" s="43" t="s">
        <v>155</v>
      </c>
      <c r="P3" s="43"/>
      <c r="Q3" s="43"/>
      <c r="R3" s="43"/>
      <c r="S3" s="43" t="s">
        <v>4</v>
      </c>
      <c r="T3" s="43" t="s">
        <v>6</v>
      </c>
      <c r="U3" s="31" t="s">
        <v>5</v>
      </c>
    </row>
    <row r="4" spans="1:21" s="1" customFormat="1" ht="21" customHeight="1" thickBot="1">
      <c r="A4" s="40"/>
      <c r="B4" s="42"/>
      <c r="C4" s="42"/>
      <c r="D4" s="42"/>
      <c r="E4" s="42"/>
      <c r="F4" s="42"/>
      <c r="G4" s="27">
        <v>1</v>
      </c>
      <c r="H4" s="27">
        <v>2</v>
      </c>
      <c r="I4" s="27">
        <v>3</v>
      </c>
      <c r="J4" s="27" t="s">
        <v>8</v>
      </c>
      <c r="K4" s="27">
        <v>1</v>
      </c>
      <c r="L4" s="27">
        <v>2</v>
      </c>
      <c r="M4" s="27">
        <v>3</v>
      </c>
      <c r="N4" s="27" t="s">
        <v>8</v>
      </c>
      <c r="O4" s="27">
        <v>1</v>
      </c>
      <c r="P4" s="27">
        <v>2</v>
      </c>
      <c r="Q4" s="27">
        <v>3</v>
      </c>
      <c r="R4" s="27" t="s">
        <v>8</v>
      </c>
      <c r="S4" s="42"/>
      <c r="T4" s="42"/>
      <c r="U4" s="32"/>
    </row>
    <row r="5" spans="1:20" ht="15">
      <c r="A5" s="44" t="s">
        <v>26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1" ht="12.75">
      <c r="A6" s="8" t="s">
        <v>109</v>
      </c>
      <c r="B6" s="8" t="s">
        <v>110</v>
      </c>
      <c r="C6" s="8" t="s">
        <v>111</v>
      </c>
      <c r="D6" s="8" t="str">
        <f>"0,5869"</f>
        <v>0,5869</v>
      </c>
      <c r="E6" s="8" t="s">
        <v>90</v>
      </c>
      <c r="F6" s="8" t="s">
        <v>112</v>
      </c>
      <c r="G6" s="49" t="s">
        <v>140</v>
      </c>
      <c r="H6" s="9" t="s">
        <v>139</v>
      </c>
      <c r="I6" s="9" t="s">
        <v>138</v>
      </c>
      <c r="J6" s="49"/>
      <c r="K6" s="9" t="s">
        <v>98</v>
      </c>
      <c r="L6" s="9" t="s">
        <v>31</v>
      </c>
      <c r="M6" s="49" t="s">
        <v>272</v>
      </c>
      <c r="N6" s="49"/>
      <c r="O6" s="9" t="s">
        <v>231</v>
      </c>
      <c r="P6" s="9" t="s">
        <v>206</v>
      </c>
      <c r="Q6" s="49" t="s">
        <v>230</v>
      </c>
      <c r="R6" s="49"/>
      <c r="S6" s="8" t="str">
        <f>"432,5"</f>
        <v>432,5</v>
      </c>
      <c r="T6" s="9" t="str">
        <f>"362,9830"</f>
        <v>362,9830</v>
      </c>
      <c r="U6" s="8" t="s">
        <v>115</v>
      </c>
    </row>
    <row r="8" spans="5:6" ht="15">
      <c r="E8" s="10" t="s">
        <v>34</v>
      </c>
      <c r="F8" s="28" t="s">
        <v>120</v>
      </c>
    </row>
    <row r="9" spans="5:6" ht="15">
      <c r="E9" s="10" t="s">
        <v>35</v>
      </c>
      <c r="F9" s="28" t="s">
        <v>121</v>
      </c>
    </row>
    <row r="10" spans="5:6" ht="15">
      <c r="E10" s="10" t="s">
        <v>36</v>
      </c>
      <c r="F10" s="28" t="s">
        <v>123</v>
      </c>
    </row>
    <row r="11" spans="5:6" ht="15">
      <c r="E11" s="10" t="s">
        <v>37</v>
      </c>
      <c r="F11" s="28" t="s">
        <v>121</v>
      </c>
    </row>
    <row r="12" spans="5:6" ht="15">
      <c r="E12" s="10" t="s">
        <v>37</v>
      </c>
      <c r="F12" s="28" t="s">
        <v>122</v>
      </c>
    </row>
    <row r="13" spans="5:6" ht="15">
      <c r="E13" s="10" t="s">
        <v>38</v>
      </c>
      <c r="F13" s="28" t="s">
        <v>124</v>
      </c>
    </row>
    <row r="14" ht="15">
      <c r="E14" s="10"/>
    </row>
    <row r="16" spans="1:2" ht="18">
      <c r="A16" s="11" t="s">
        <v>39</v>
      </c>
      <c r="B16" s="11"/>
    </row>
    <row r="17" spans="1:5" s="3" customFormat="1" ht="15">
      <c r="A17" s="12" t="s">
        <v>40</v>
      </c>
      <c r="B17" s="12"/>
      <c r="C17" s="4"/>
      <c r="D17" s="4"/>
      <c r="E17" s="4"/>
    </row>
    <row r="18" spans="1:5" s="3" customFormat="1" ht="14.25">
      <c r="A18" s="14"/>
      <c r="B18" s="15" t="s">
        <v>116</v>
      </c>
      <c r="C18" s="4"/>
      <c r="D18" s="4"/>
      <c r="E18" s="4"/>
    </row>
    <row r="19" spans="1:5" s="3" customFormat="1" ht="15">
      <c r="A19" s="16" t="s">
        <v>42</v>
      </c>
      <c r="B19" s="16" t="s">
        <v>43</v>
      </c>
      <c r="C19" s="16" t="s">
        <v>44</v>
      </c>
      <c r="D19" s="16" t="s">
        <v>45</v>
      </c>
      <c r="E19" s="16" t="s">
        <v>128</v>
      </c>
    </row>
    <row r="20" spans="1:5" s="3" customFormat="1" ht="12.75">
      <c r="A20" s="13" t="s">
        <v>108</v>
      </c>
      <c r="B20" s="4" t="s">
        <v>117</v>
      </c>
      <c r="C20" s="4" t="s">
        <v>47</v>
      </c>
      <c r="D20" s="4" t="s">
        <v>528</v>
      </c>
      <c r="E20" s="17" t="s">
        <v>527</v>
      </c>
    </row>
  </sheetData>
  <sheetProtection/>
  <mergeCells count="14">
    <mergeCell ref="C3:C4"/>
    <mergeCell ref="U3:U4"/>
    <mergeCell ref="F3:F4"/>
    <mergeCell ref="E3:E4"/>
    <mergeCell ref="A5:T5"/>
    <mergeCell ref="D3:D4"/>
    <mergeCell ref="S3:S4"/>
    <mergeCell ref="T3:T4"/>
    <mergeCell ref="A1:U2"/>
    <mergeCell ref="G3:J3"/>
    <mergeCell ref="K3:N3"/>
    <mergeCell ref="O3:R3"/>
    <mergeCell ref="A3:A4"/>
    <mergeCell ref="B3:B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9.875" style="4" bestFit="1" customWidth="1"/>
    <col min="7" max="9" width="4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6" t="s">
        <v>532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11</v>
      </c>
      <c r="D3" s="43" t="s">
        <v>135</v>
      </c>
      <c r="E3" s="43" t="s">
        <v>7</v>
      </c>
      <c r="F3" s="43" t="s">
        <v>12</v>
      </c>
      <c r="G3" s="43" t="s">
        <v>531</v>
      </c>
      <c r="H3" s="43"/>
      <c r="I3" s="43"/>
      <c r="J3" s="43"/>
      <c r="K3" s="43" t="s">
        <v>133</v>
      </c>
      <c r="L3" s="43" t="s">
        <v>6</v>
      </c>
      <c r="M3" s="31" t="s">
        <v>5</v>
      </c>
    </row>
    <row r="4" spans="1:13" s="1" customFormat="1" ht="21" customHeight="1" thickBot="1">
      <c r="A4" s="40"/>
      <c r="B4" s="42"/>
      <c r="C4" s="42"/>
      <c r="D4" s="42"/>
      <c r="E4" s="42"/>
      <c r="F4" s="42"/>
      <c r="G4" s="27">
        <v>1</v>
      </c>
      <c r="H4" s="27">
        <v>2</v>
      </c>
      <c r="I4" s="27">
        <v>3</v>
      </c>
      <c r="J4" s="27" t="s">
        <v>8</v>
      </c>
      <c r="K4" s="42"/>
      <c r="L4" s="42"/>
      <c r="M4" s="32"/>
    </row>
    <row r="5" spans="1:12" ht="15">
      <c r="A5" s="44" t="s">
        <v>16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3" ht="12.75">
      <c r="A6" s="8" t="s">
        <v>87</v>
      </c>
      <c r="B6" s="8" t="s">
        <v>88</v>
      </c>
      <c r="C6" s="8" t="s">
        <v>89</v>
      </c>
      <c r="D6" s="8" t="str">
        <f>"0,6405"</f>
        <v>0,6405</v>
      </c>
      <c r="E6" s="8" t="s">
        <v>90</v>
      </c>
      <c r="F6" s="8" t="s">
        <v>91</v>
      </c>
      <c r="G6" s="9" t="s">
        <v>129</v>
      </c>
      <c r="H6" s="9" t="s">
        <v>85</v>
      </c>
      <c r="I6" s="9" t="s">
        <v>126</v>
      </c>
      <c r="J6" s="49"/>
      <c r="K6" s="8" t="str">
        <f>"75,0"</f>
        <v>75,0</v>
      </c>
      <c r="L6" s="9" t="str">
        <f>"48,0375"</f>
        <v>48,0375</v>
      </c>
      <c r="M6" s="8" t="s">
        <v>93</v>
      </c>
    </row>
    <row r="8" spans="5:6" ht="15">
      <c r="E8" s="10" t="s">
        <v>34</v>
      </c>
      <c r="F8" s="28" t="s">
        <v>120</v>
      </c>
    </row>
    <row r="9" spans="5:6" ht="15">
      <c r="E9" s="10" t="s">
        <v>35</v>
      </c>
      <c r="F9" s="28" t="s">
        <v>121</v>
      </c>
    </row>
    <row r="10" spans="5:6" ht="15">
      <c r="E10" s="10" t="s">
        <v>36</v>
      </c>
      <c r="F10" s="28" t="s">
        <v>122</v>
      </c>
    </row>
    <row r="11" spans="5:6" ht="15">
      <c r="E11" s="10" t="s">
        <v>37</v>
      </c>
      <c r="F11" s="28" t="s">
        <v>123</v>
      </c>
    </row>
    <row r="12" spans="5:6" ht="15">
      <c r="E12" s="10" t="s">
        <v>37</v>
      </c>
      <c r="F12" s="28" t="s">
        <v>121</v>
      </c>
    </row>
    <row r="13" spans="5:6" ht="15">
      <c r="E13" s="10" t="s">
        <v>38</v>
      </c>
      <c r="F13" s="28" t="s">
        <v>124</v>
      </c>
    </row>
    <row r="14" ht="15">
      <c r="E14" s="10"/>
    </row>
    <row r="16" spans="1:2" ht="18">
      <c r="A16" s="11" t="s">
        <v>39</v>
      </c>
      <c r="B16" s="11"/>
    </row>
    <row r="17" spans="1:5" s="3" customFormat="1" ht="15">
      <c r="A17" s="12" t="s">
        <v>40</v>
      </c>
      <c r="B17" s="12"/>
      <c r="C17" s="4"/>
      <c r="D17" s="4"/>
      <c r="E17" s="4"/>
    </row>
    <row r="18" spans="1:5" s="3" customFormat="1" ht="14.25">
      <c r="A18" s="14"/>
      <c r="B18" s="15" t="s">
        <v>41</v>
      </c>
      <c r="C18" s="4"/>
      <c r="D18" s="4"/>
      <c r="E18" s="4"/>
    </row>
    <row r="19" spans="1:5" s="3" customFormat="1" ht="15">
      <c r="A19" s="16" t="s">
        <v>42</v>
      </c>
      <c r="B19" s="16" t="s">
        <v>43</v>
      </c>
      <c r="C19" s="16" t="s">
        <v>44</v>
      </c>
      <c r="D19" s="16" t="s">
        <v>45</v>
      </c>
      <c r="E19" s="16" t="s">
        <v>128</v>
      </c>
    </row>
    <row r="20" spans="1:5" s="3" customFormat="1" ht="12.75">
      <c r="A20" s="13" t="s">
        <v>86</v>
      </c>
      <c r="B20" s="4" t="s">
        <v>41</v>
      </c>
      <c r="C20" s="4" t="s">
        <v>50</v>
      </c>
      <c r="D20" s="4" t="s">
        <v>126</v>
      </c>
      <c r="E20" s="17" t="s">
        <v>530</v>
      </c>
    </row>
  </sheetData>
  <sheetProtection/>
  <mergeCells count="12">
    <mergeCell ref="F3:F4"/>
    <mergeCell ref="G3:J3"/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7.625" style="4" bestFit="1" customWidth="1"/>
    <col min="7" max="9" width="4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6.75390625" style="4" bestFit="1" customWidth="1"/>
    <col min="14" max="16384" width="9.125" style="3" customWidth="1"/>
  </cols>
  <sheetData>
    <row r="1" spans="1:13" s="2" customFormat="1" ht="28.5" customHeight="1">
      <c r="A1" s="46" t="s">
        <v>540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11</v>
      </c>
      <c r="D3" s="43" t="s">
        <v>135</v>
      </c>
      <c r="E3" s="43" t="s">
        <v>7</v>
      </c>
      <c r="F3" s="43" t="s">
        <v>12</v>
      </c>
      <c r="G3" s="43" t="s">
        <v>531</v>
      </c>
      <c r="H3" s="43"/>
      <c r="I3" s="43"/>
      <c r="J3" s="43"/>
      <c r="K3" s="43" t="s">
        <v>133</v>
      </c>
      <c r="L3" s="43" t="s">
        <v>6</v>
      </c>
      <c r="M3" s="31" t="s">
        <v>5</v>
      </c>
    </row>
    <row r="4" spans="1:13" s="1" customFormat="1" ht="21" customHeight="1" thickBot="1">
      <c r="A4" s="40"/>
      <c r="B4" s="42"/>
      <c r="C4" s="42"/>
      <c r="D4" s="42"/>
      <c r="E4" s="42"/>
      <c r="F4" s="42"/>
      <c r="G4" s="27">
        <v>1</v>
      </c>
      <c r="H4" s="27">
        <v>2</v>
      </c>
      <c r="I4" s="27">
        <v>3</v>
      </c>
      <c r="J4" s="27" t="s">
        <v>8</v>
      </c>
      <c r="K4" s="42"/>
      <c r="L4" s="42"/>
      <c r="M4" s="32"/>
    </row>
    <row r="5" spans="1:12" ht="15">
      <c r="A5" s="44" t="s">
        <v>26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3" ht="12.75">
      <c r="A6" s="8" t="s">
        <v>539</v>
      </c>
      <c r="B6" s="8" t="s">
        <v>538</v>
      </c>
      <c r="C6" s="8" t="s">
        <v>537</v>
      </c>
      <c r="D6" s="8" t="str">
        <f>"0,6045"</f>
        <v>0,6045</v>
      </c>
      <c r="E6" s="8" t="s">
        <v>21</v>
      </c>
      <c r="F6" s="8" t="s">
        <v>536</v>
      </c>
      <c r="G6" s="9" t="s">
        <v>400</v>
      </c>
      <c r="H6" s="9" t="s">
        <v>440</v>
      </c>
      <c r="I6" s="49" t="s">
        <v>369</v>
      </c>
      <c r="J6" s="49"/>
      <c r="K6" s="8" t="str">
        <f>"52,5"</f>
        <v>52,5</v>
      </c>
      <c r="L6" s="9" t="str">
        <f>"31,7362"</f>
        <v>31,7362</v>
      </c>
      <c r="M6" s="8" t="s">
        <v>33</v>
      </c>
    </row>
    <row r="8" spans="1:12" ht="15">
      <c r="A8" s="47" t="s">
        <v>301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3" ht="12.75">
      <c r="A9" s="8" t="s">
        <v>387</v>
      </c>
      <c r="B9" s="8" t="s">
        <v>386</v>
      </c>
      <c r="C9" s="8" t="s">
        <v>385</v>
      </c>
      <c r="D9" s="8" t="str">
        <f>"0,5375"</f>
        <v>0,5375</v>
      </c>
      <c r="E9" s="8" t="s">
        <v>90</v>
      </c>
      <c r="F9" s="8" t="s">
        <v>22</v>
      </c>
      <c r="G9" s="9" t="s">
        <v>373</v>
      </c>
      <c r="H9" s="9" t="s">
        <v>369</v>
      </c>
      <c r="I9" s="49" t="s">
        <v>208</v>
      </c>
      <c r="J9" s="49"/>
      <c r="K9" s="8" t="str">
        <f>"62,5"</f>
        <v>62,5</v>
      </c>
      <c r="L9" s="9" t="str">
        <f>"33,5938"</f>
        <v>33,5938</v>
      </c>
      <c r="M9" s="8" t="s">
        <v>383</v>
      </c>
    </row>
    <row r="11" spans="5:6" ht="15">
      <c r="E11" s="10" t="s">
        <v>34</v>
      </c>
      <c r="F11" s="28" t="s">
        <v>120</v>
      </c>
    </row>
    <row r="12" spans="5:6" ht="15">
      <c r="E12" s="10" t="s">
        <v>35</v>
      </c>
      <c r="F12" s="28" t="s">
        <v>121</v>
      </c>
    </row>
    <row r="13" spans="5:6" ht="15">
      <c r="E13" s="10" t="s">
        <v>36</v>
      </c>
      <c r="F13" s="28" t="s">
        <v>122</v>
      </c>
    </row>
    <row r="14" spans="5:6" ht="15">
      <c r="E14" s="10" t="s">
        <v>37</v>
      </c>
      <c r="F14" s="28" t="s">
        <v>123</v>
      </c>
    </row>
    <row r="15" spans="5:6" ht="15">
      <c r="E15" s="10" t="s">
        <v>37</v>
      </c>
      <c r="F15" s="28" t="s">
        <v>121</v>
      </c>
    </row>
    <row r="16" spans="5:6" ht="15">
      <c r="E16" s="10" t="s">
        <v>38</v>
      </c>
      <c r="F16" s="28" t="s">
        <v>124</v>
      </c>
    </row>
    <row r="17" spans="1:5" s="3" customFormat="1" ht="15">
      <c r="A17" s="4"/>
      <c r="B17" s="4"/>
      <c r="C17" s="4"/>
      <c r="D17" s="4"/>
      <c r="E17" s="10"/>
    </row>
    <row r="19" spans="1:5" s="3" customFormat="1" ht="18">
      <c r="A19" s="11" t="s">
        <v>39</v>
      </c>
      <c r="B19" s="11"/>
      <c r="C19" s="4"/>
      <c r="D19" s="4"/>
      <c r="E19" s="4"/>
    </row>
    <row r="20" spans="1:5" s="3" customFormat="1" ht="15">
      <c r="A20" s="12" t="s">
        <v>40</v>
      </c>
      <c r="B20" s="12"/>
      <c r="C20" s="4"/>
      <c r="D20" s="4"/>
      <c r="E20" s="4"/>
    </row>
    <row r="21" spans="1:5" s="3" customFormat="1" ht="14.25">
      <c r="A21" s="14"/>
      <c r="B21" s="15" t="s">
        <v>41</v>
      </c>
      <c r="C21" s="4"/>
      <c r="D21" s="4"/>
      <c r="E21" s="4"/>
    </row>
    <row r="22" spans="1:5" s="3" customFormat="1" ht="15">
      <c r="A22" s="16" t="s">
        <v>42</v>
      </c>
      <c r="B22" s="16" t="s">
        <v>43</v>
      </c>
      <c r="C22" s="16" t="s">
        <v>44</v>
      </c>
      <c r="D22" s="16" t="s">
        <v>45</v>
      </c>
      <c r="E22" s="16" t="s">
        <v>128</v>
      </c>
    </row>
    <row r="23" spans="1:5" s="3" customFormat="1" ht="12.75">
      <c r="A23" s="13" t="s">
        <v>330</v>
      </c>
      <c r="B23" s="4" t="s">
        <v>41</v>
      </c>
      <c r="C23" s="4" t="s">
        <v>286</v>
      </c>
      <c r="D23" s="4" t="s">
        <v>369</v>
      </c>
      <c r="E23" s="17" t="s">
        <v>535</v>
      </c>
    </row>
    <row r="24" spans="1:5" s="3" customFormat="1" ht="12.75">
      <c r="A24" s="13" t="s">
        <v>534</v>
      </c>
      <c r="B24" s="4" t="s">
        <v>41</v>
      </c>
      <c r="C24" s="4" t="s">
        <v>47</v>
      </c>
      <c r="D24" s="4" t="s">
        <v>440</v>
      </c>
      <c r="E24" s="17" t="s">
        <v>533</v>
      </c>
    </row>
  </sheetData>
  <sheetProtection/>
  <mergeCells count="13">
    <mergeCell ref="K3:K4"/>
    <mergeCell ref="L3:L4"/>
    <mergeCell ref="M3:M4"/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F32" sqref="F3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6.00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28.125" style="4" bestFit="1" customWidth="1"/>
    <col min="14" max="16384" width="9.125" style="3" customWidth="1"/>
  </cols>
  <sheetData>
    <row r="1" spans="1:13" s="2" customFormat="1" ht="28.5" customHeight="1">
      <c r="A1" s="46" t="s">
        <v>548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11</v>
      </c>
      <c r="D3" s="43" t="s">
        <v>135</v>
      </c>
      <c r="E3" s="43" t="s">
        <v>7</v>
      </c>
      <c r="F3" s="43" t="s">
        <v>12</v>
      </c>
      <c r="G3" s="43" t="s">
        <v>547</v>
      </c>
      <c r="H3" s="43"/>
      <c r="I3" s="43"/>
      <c r="J3" s="43"/>
      <c r="K3" s="43" t="s">
        <v>133</v>
      </c>
      <c r="L3" s="43" t="s">
        <v>6</v>
      </c>
      <c r="M3" s="31" t="s">
        <v>5</v>
      </c>
    </row>
    <row r="4" spans="1:13" s="1" customFormat="1" ht="21" customHeight="1" thickBot="1">
      <c r="A4" s="40"/>
      <c r="B4" s="42"/>
      <c r="C4" s="42"/>
      <c r="D4" s="42"/>
      <c r="E4" s="42"/>
      <c r="F4" s="42"/>
      <c r="G4" s="27">
        <v>1</v>
      </c>
      <c r="H4" s="27">
        <v>2</v>
      </c>
      <c r="I4" s="27">
        <v>3</v>
      </c>
      <c r="J4" s="27" t="s">
        <v>8</v>
      </c>
      <c r="K4" s="42"/>
      <c r="L4" s="42"/>
      <c r="M4" s="32"/>
    </row>
    <row r="5" spans="1:12" ht="15">
      <c r="A5" s="44" t="s">
        <v>197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3" ht="12.75">
      <c r="A6" s="8" t="s">
        <v>546</v>
      </c>
      <c r="B6" s="8" t="s">
        <v>545</v>
      </c>
      <c r="C6" s="8" t="s">
        <v>544</v>
      </c>
      <c r="D6" s="8" t="str">
        <f>"0,5271"</f>
        <v>0,5271</v>
      </c>
      <c r="E6" s="8" t="s">
        <v>150</v>
      </c>
      <c r="F6" s="8" t="s">
        <v>22</v>
      </c>
      <c r="G6" s="9" t="s">
        <v>219</v>
      </c>
      <c r="H6" s="49" t="s">
        <v>180</v>
      </c>
      <c r="I6" s="49" t="s">
        <v>180</v>
      </c>
      <c r="J6" s="49"/>
      <c r="K6" s="8" t="str">
        <f>"115,0"</f>
        <v>115,0</v>
      </c>
      <c r="L6" s="9" t="str">
        <f>"60,6165"</f>
        <v>60,6165</v>
      </c>
      <c r="M6" s="8" t="s">
        <v>543</v>
      </c>
    </row>
    <row r="8" spans="5:6" ht="15">
      <c r="E8" s="10" t="s">
        <v>34</v>
      </c>
      <c r="F8" s="28" t="s">
        <v>120</v>
      </c>
    </row>
    <row r="9" spans="5:6" ht="15">
      <c r="E9" s="10" t="s">
        <v>35</v>
      </c>
      <c r="F9" s="28" t="s">
        <v>121</v>
      </c>
    </row>
    <row r="10" spans="5:6" ht="15">
      <c r="E10" s="10" t="s">
        <v>36</v>
      </c>
      <c r="F10" s="28" t="s">
        <v>122</v>
      </c>
    </row>
    <row r="11" spans="5:6" ht="15">
      <c r="E11" s="10" t="s">
        <v>37</v>
      </c>
      <c r="F11" s="28" t="s">
        <v>123</v>
      </c>
    </row>
    <row r="12" spans="5:6" ht="15">
      <c r="E12" s="10" t="s">
        <v>37</v>
      </c>
      <c r="F12" s="28" t="s">
        <v>121</v>
      </c>
    </row>
    <row r="13" spans="5:6" ht="15">
      <c r="E13" s="10" t="s">
        <v>38</v>
      </c>
      <c r="F13" s="28" t="s">
        <v>124</v>
      </c>
    </row>
    <row r="14" ht="15">
      <c r="E14" s="10"/>
    </row>
    <row r="16" spans="1:2" ht="18">
      <c r="A16" s="11" t="s">
        <v>39</v>
      </c>
      <c r="B16" s="11"/>
    </row>
    <row r="17" spans="1:5" s="3" customFormat="1" ht="15">
      <c r="A17" s="12" t="s">
        <v>40</v>
      </c>
      <c r="B17" s="12"/>
      <c r="C17" s="4"/>
      <c r="D17" s="4"/>
      <c r="E17" s="4"/>
    </row>
    <row r="18" spans="1:5" s="3" customFormat="1" ht="14.25">
      <c r="A18" s="14"/>
      <c r="B18" s="15" t="s">
        <v>41</v>
      </c>
      <c r="C18" s="4"/>
      <c r="D18" s="4"/>
      <c r="E18" s="4"/>
    </row>
    <row r="19" spans="1:5" s="3" customFormat="1" ht="15">
      <c r="A19" s="16" t="s">
        <v>42</v>
      </c>
      <c r="B19" s="16" t="s">
        <v>43</v>
      </c>
      <c r="C19" s="16" t="s">
        <v>44</v>
      </c>
      <c r="D19" s="16" t="s">
        <v>45</v>
      </c>
      <c r="E19" s="16" t="s">
        <v>128</v>
      </c>
    </row>
    <row r="20" spans="1:5" s="3" customFormat="1" ht="12.75">
      <c r="A20" s="13" t="s">
        <v>542</v>
      </c>
      <c r="B20" s="4" t="s">
        <v>41</v>
      </c>
      <c r="C20" s="4" t="s">
        <v>159</v>
      </c>
      <c r="D20" s="4" t="s">
        <v>219</v>
      </c>
      <c r="E20" s="17" t="s">
        <v>541</v>
      </c>
    </row>
  </sheetData>
  <sheetProtection/>
  <mergeCells count="12">
    <mergeCell ref="F3:F4"/>
    <mergeCell ref="G3:J3"/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4" width="10.625" style="4" bestFit="1" customWidth="1"/>
    <col min="5" max="5" width="22.75390625" style="4" bestFit="1" customWidth="1"/>
    <col min="6" max="6" width="26.00390625" style="4" bestFit="1" customWidth="1"/>
    <col min="7" max="7" width="4.625" style="3" bestFit="1" customWidth="1"/>
    <col min="8" max="8" width="4.625" style="20" bestFit="1" customWidth="1"/>
    <col min="9" max="9" width="7.875" style="4" bestFit="1" customWidth="1"/>
    <col min="10" max="10" width="7.625" style="3" bestFit="1" customWidth="1"/>
    <col min="11" max="11" width="18.625" style="4" bestFit="1" customWidth="1"/>
    <col min="12" max="16384" width="9.125" style="3" customWidth="1"/>
  </cols>
  <sheetData>
    <row r="1" spans="1:11" s="2" customFormat="1" ht="28.5" customHeight="1">
      <c r="A1" s="46" t="s">
        <v>582</v>
      </c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1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8"/>
    </row>
    <row r="3" spans="1:11" s="1" customFormat="1" ht="12.75" customHeight="1">
      <c r="A3" s="39" t="s">
        <v>0</v>
      </c>
      <c r="B3" s="41" t="s">
        <v>10</v>
      </c>
      <c r="C3" s="41" t="s">
        <v>11</v>
      </c>
      <c r="D3" s="43" t="s">
        <v>581</v>
      </c>
      <c r="E3" s="43" t="s">
        <v>7</v>
      </c>
      <c r="F3" s="43" t="s">
        <v>12</v>
      </c>
      <c r="G3" s="43" t="s">
        <v>580</v>
      </c>
      <c r="H3" s="43"/>
      <c r="I3" s="43" t="s">
        <v>55</v>
      </c>
      <c r="J3" s="43" t="s">
        <v>6</v>
      </c>
      <c r="K3" s="31" t="s">
        <v>5</v>
      </c>
    </row>
    <row r="4" spans="1:11" s="1" customFormat="1" ht="21" customHeight="1" thickBot="1">
      <c r="A4" s="40"/>
      <c r="B4" s="42"/>
      <c r="C4" s="42"/>
      <c r="D4" s="42"/>
      <c r="E4" s="42"/>
      <c r="F4" s="42"/>
      <c r="G4" s="27" t="s">
        <v>53</v>
      </c>
      <c r="H4" s="18" t="s">
        <v>54</v>
      </c>
      <c r="I4" s="42"/>
      <c r="J4" s="42"/>
      <c r="K4" s="32"/>
    </row>
    <row r="5" spans="1:10" ht="15">
      <c r="A5" s="44" t="s">
        <v>579</v>
      </c>
      <c r="B5" s="45"/>
      <c r="C5" s="45"/>
      <c r="D5" s="45"/>
      <c r="E5" s="45"/>
      <c r="F5" s="45"/>
      <c r="G5" s="45"/>
      <c r="H5" s="45"/>
      <c r="I5" s="45"/>
      <c r="J5" s="45"/>
    </row>
    <row r="6" spans="1:11" ht="12.75">
      <c r="A6" s="21" t="s">
        <v>578</v>
      </c>
      <c r="B6" s="21" t="s">
        <v>577</v>
      </c>
      <c r="C6" s="21" t="s">
        <v>308</v>
      </c>
      <c r="D6" s="21" t="str">
        <f>"1,0000"</f>
        <v>1,0000</v>
      </c>
      <c r="E6" s="21" t="s">
        <v>150</v>
      </c>
      <c r="F6" s="21" t="s">
        <v>22</v>
      </c>
      <c r="G6" s="22" t="s">
        <v>376</v>
      </c>
      <c r="H6" s="25" t="s">
        <v>576</v>
      </c>
      <c r="I6" s="21" t="str">
        <f>"550,0"</f>
        <v>550,0</v>
      </c>
      <c r="J6" s="22" t="str">
        <f>"6,8069"</f>
        <v>6,8069</v>
      </c>
      <c r="K6" s="21" t="s">
        <v>313</v>
      </c>
    </row>
    <row r="7" spans="1:11" ht="12.75">
      <c r="A7" s="52" t="s">
        <v>482</v>
      </c>
      <c r="B7" s="52" t="s">
        <v>481</v>
      </c>
      <c r="C7" s="52" t="s">
        <v>480</v>
      </c>
      <c r="D7" s="52" t="str">
        <f>"1,0000"</f>
        <v>1,0000</v>
      </c>
      <c r="E7" s="52" t="s">
        <v>62</v>
      </c>
      <c r="F7" s="52" t="s">
        <v>22</v>
      </c>
      <c r="G7" s="53" t="s">
        <v>376</v>
      </c>
      <c r="H7" s="55" t="s">
        <v>208</v>
      </c>
      <c r="I7" s="52" t="str">
        <f>"3575,0"</f>
        <v>3575,0</v>
      </c>
      <c r="J7" s="53" t="str">
        <f>"40,0335"</f>
        <v>40,0335</v>
      </c>
      <c r="K7" s="52" t="s">
        <v>193</v>
      </c>
    </row>
    <row r="8" spans="1:11" ht="12.75">
      <c r="A8" s="52" t="s">
        <v>387</v>
      </c>
      <c r="B8" s="52" t="s">
        <v>386</v>
      </c>
      <c r="C8" s="52" t="s">
        <v>385</v>
      </c>
      <c r="D8" s="52" t="str">
        <f>"1,0000"</f>
        <v>1,0000</v>
      </c>
      <c r="E8" s="52" t="s">
        <v>90</v>
      </c>
      <c r="F8" s="52" t="s">
        <v>22</v>
      </c>
      <c r="G8" s="53" t="s">
        <v>376</v>
      </c>
      <c r="H8" s="55" t="s">
        <v>575</v>
      </c>
      <c r="I8" s="52" t="str">
        <f>"3630,0"</f>
        <v>3630,0</v>
      </c>
      <c r="J8" s="53" t="str">
        <f>"33,2417"</f>
        <v>33,2417</v>
      </c>
      <c r="K8" s="52" t="s">
        <v>383</v>
      </c>
    </row>
    <row r="9" spans="1:11" ht="12.75">
      <c r="A9" s="52" t="s">
        <v>416</v>
      </c>
      <c r="B9" s="52" t="s">
        <v>415</v>
      </c>
      <c r="C9" s="52" t="s">
        <v>414</v>
      </c>
      <c r="D9" s="52" t="str">
        <f>"1,0000"</f>
        <v>1,0000</v>
      </c>
      <c r="E9" s="52" t="s">
        <v>62</v>
      </c>
      <c r="F9" s="52" t="s">
        <v>22</v>
      </c>
      <c r="G9" s="53" t="s">
        <v>376</v>
      </c>
      <c r="H9" s="55" t="s">
        <v>574</v>
      </c>
      <c r="I9" s="52" t="str">
        <f>"3190,0"</f>
        <v>3190,0</v>
      </c>
      <c r="J9" s="53" t="str">
        <f>"39,9249"</f>
        <v>39,9249</v>
      </c>
      <c r="K9" s="52" t="s">
        <v>193</v>
      </c>
    </row>
    <row r="10" spans="1:11" ht="12.75">
      <c r="A10" s="52" t="s">
        <v>573</v>
      </c>
      <c r="B10" s="52" t="s">
        <v>572</v>
      </c>
      <c r="C10" s="52" t="s">
        <v>571</v>
      </c>
      <c r="D10" s="52" t="str">
        <f>"1,0000"</f>
        <v>1,0000</v>
      </c>
      <c r="E10" s="52" t="s">
        <v>90</v>
      </c>
      <c r="F10" s="52" t="s">
        <v>22</v>
      </c>
      <c r="G10" s="53" t="s">
        <v>376</v>
      </c>
      <c r="H10" s="55" t="s">
        <v>570</v>
      </c>
      <c r="I10" s="52" t="str">
        <f>"1705,0"</f>
        <v>1705,0</v>
      </c>
      <c r="J10" s="53" t="str">
        <f>"19,9765"</f>
        <v>19,9765</v>
      </c>
      <c r="K10" s="52" t="s">
        <v>33</v>
      </c>
    </row>
    <row r="11" spans="1:11" ht="12.75">
      <c r="A11" s="23" t="s">
        <v>569</v>
      </c>
      <c r="B11" s="23" t="s">
        <v>568</v>
      </c>
      <c r="C11" s="23" t="s">
        <v>567</v>
      </c>
      <c r="D11" s="23" t="str">
        <f>"1,0000"</f>
        <v>1,0000</v>
      </c>
      <c r="E11" s="23" t="s">
        <v>150</v>
      </c>
      <c r="F11" s="23" t="s">
        <v>22</v>
      </c>
      <c r="G11" s="24" t="s">
        <v>376</v>
      </c>
      <c r="H11" s="26" t="s">
        <v>566</v>
      </c>
      <c r="I11" s="23" t="str">
        <f>"990,0"</f>
        <v>990,0</v>
      </c>
      <c r="J11" s="24" t="str">
        <f>"14,1226"</f>
        <v>14,1226</v>
      </c>
      <c r="K11" s="23" t="s">
        <v>33</v>
      </c>
    </row>
    <row r="13" spans="5:6" ht="15">
      <c r="E13" s="10" t="s">
        <v>34</v>
      </c>
      <c r="F13" s="28" t="s">
        <v>120</v>
      </c>
    </row>
    <row r="14" spans="5:6" ht="15">
      <c r="E14" s="10" t="s">
        <v>35</v>
      </c>
      <c r="F14" s="28" t="s">
        <v>121</v>
      </c>
    </row>
    <row r="15" spans="5:6" ht="15">
      <c r="E15" s="10" t="s">
        <v>36</v>
      </c>
      <c r="F15" s="28" t="s">
        <v>123</v>
      </c>
    </row>
    <row r="16" spans="5:6" ht="15">
      <c r="E16" s="10" t="s">
        <v>37</v>
      </c>
      <c r="F16" s="28" t="s">
        <v>122</v>
      </c>
    </row>
    <row r="17" spans="1:6" s="3" customFormat="1" ht="15">
      <c r="A17" s="4"/>
      <c r="B17" s="4"/>
      <c r="C17" s="4"/>
      <c r="D17" s="4"/>
      <c r="E17" s="10" t="s">
        <v>37</v>
      </c>
      <c r="F17" s="28" t="s">
        <v>121</v>
      </c>
    </row>
    <row r="18" spans="1:6" s="3" customFormat="1" ht="15">
      <c r="A18" s="4"/>
      <c r="B18" s="4"/>
      <c r="C18" s="4"/>
      <c r="D18" s="4"/>
      <c r="E18" s="10" t="s">
        <v>38</v>
      </c>
      <c r="F18" s="28" t="s">
        <v>124</v>
      </c>
    </row>
    <row r="19" spans="1:6" s="3" customFormat="1" ht="15">
      <c r="A19" s="4"/>
      <c r="B19" s="4"/>
      <c r="C19" s="4"/>
      <c r="D19" s="4"/>
      <c r="E19" s="10"/>
      <c r="F19" s="4"/>
    </row>
    <row r="21" spans="1:6" s="3" customFormat="1" ht="18">
      <c r="A21" s="11" t="s">
        <v>39</v>
      </c>
      <c r="B21" s="11"/>
      <c r="C21" s="4"/>
      <c r="D21" s="4"/>
      <c r="E21" s="4"/>
      <c r="F21" s="4"/>
    </row>
    <row r="22" spans="1:6" s="3" customFormat="1" ht="15">
      <c r="A22" s="12" t="s">
        <v>40</v>
      </c>
      <c r="B22" s="12"/>
      <c r="C22" s="4"/>
      <c r="D22" s="4"/>
      <c r="E22" s="4"/>
      <c r="F22" s="4"/>
    </row>
    <row r="23" spans="1:6" s="3" customFormat="1" ht="14.25">
      <c r="A23" s="14"/>
      <c r="B23" s="15" t="s">
        <v>178</v>
      </c>
      <c r="C23" s="4"/>
      <c r="D23" s="4"/>
      <c r="E23" s="4"/>
      <c r="F23" s="4"/>
    </row>
    <row r="24" spans="1:6" s="3" customFormat="1" ht="15">
      <c r="A24" s="16" t="s">
        <v>42</v>
      </c>
      <c r="B24" s="16" t="s">
        <v>43</v>
      </c>
      <c r="C24" s="16" t="s">
        <v>44</v>
      </c>
      <c r="D24" s="16" t="s">
        <v>45</v>
      </c>
      <c r="E24" s="16" t="s">
        <v>556</v>
      </c>
      <c r="F24" s="4"/>
    </row>
    <row r="25" spans="1:6" s="3" customFormat="1" ht="12.75">
      <c r="A25" s="13" t="s">
        <v>467</v>
      </c>
      <c r="B25" s="4" t="s">
        <v>176</v>
      </c>
      <c r="C25" s="4" t="s">
        <v>551</v>
      </c>
      <c r="D25" s="4" t="s">
        <v>565</v>
      </c>
      <c r="E25" s="17" t="s">
        <v>564</v>
      </c>
      <c r="F25" s="4"/>
    </row>
    <row r="26" spans="1:6" s="3" customFormat="1" ht="12.75">
      <c r="A26" s="13" t="s">
        <v>563</v>
      </c>
      <c r="B26" s="4" t="s">
        <v>359</v>
      </c>
      <c r="C26" s="4" t="s">
        <v>551</v>
      </c>
      <c r="D26" s="4" t="s">
        <v>562</v>
      </c>
      <c r="E26" s="17" t="s">
        <v>561</v>
      </c>
      <c r="F26" s="4"/>
    </row>
    <row r="28" spans="1:6" s="3" customFormat="1" ht="14.25">
      <c r="A28" s="14"/>
      <c r="B28" s="15" t="s">
        <v>41</v>
      </c>
      <c r="C28" s="4"/>
      <c r="D28" s="4"/>
      <c r="E28" s="4"/>
      <c r="F28" s="4"/>
    </row>
    <row r="29" spans="1:6" s="3" customFormat="1" ht="15">
      <c r="A29" s="16" t="s">
        <v>42</v>
      </c>
      <c r="B29" s="16" t="s">
        <v>43</v>
      </c>
      <c r="C29" s="16" t="s">
        <v>44</v>
      </c>
      <c r="D29" s="16" t="s">
        <v>45</v>
      </c>
      <c r="E29" s="16" t="s">
        <v>556</v>
      </c>
      <c r="F29" s="4"/>
    </row>
    <row r="30" spans="1:6" s="3" customFormat="1" ht="12.75">
      <c r="A30" s="13" t="s">
        <v>335</v>
      </c>
      <c r="B30" s="4" t="s">
        <v>41</v>
      </c>
      <c r="C30" s="4" t="s">
        <v>551</v>
      </c>
      <c r="D30" s="4" t="s">
        <v>560</v>
      </c>
      <c r="E30" s="17" t="s">
        <v>559</v>
      </c>
      <c r="F30" s="4"/>
    </row>
    <row r="31" spans="1:6" s="3" customFormat="1" ht="12.75">
      <c r="A31" s="13" t="s">
        <v>330</v>
      </c>
      <c r="B31" s="4" t="s">
        <v>41</v>
      </c>
      <c r="C31" s="4" t="s">
        <v>551</v>
      </c>
      <c r="D31" s="4" t="s">
        <v>558</v>
      </c>
      <c r="E31" s="17" t="s">
        <v>557</v>
      </c>
      <c r="F31" s="4"/>
    </row>
    <row r="33" spans="1:5" s="3" customFormat="1" ht="14.25">
      <c r="A33" s="14"/>
      <c r="B33" s="15" t="s">
        <v>116</v>
      </c>
      <c r="C33" s="4"/>
      <c r="D33" s="4"/>
      <c r="E33" s="4"/>
    </row>
    <row r="34" spans="1:5" s="3" customFormat="1" ht="15">
      <c r="A34" s="16" t="s">
        <v>42</v>
      </c>
      <c r="B34" s="16" t="s">
        <v>43</v>
      </c>
      <c r="C34" s="16" t="s">
        <v>44</v>
      </c>
      <c r="D34" s="16" t="s">
        <v>45</v>
      </c>
      <c r="E34" s="16" t="s">
        <v>556</v>
      </c>
    </row>
    <row r="35" spans="1:5" s="3" customFormat="1" ht="12.75">
      <c r="A35" s="13" t="s">
        <v>555</v>
      </c>
      <c r="B35" s="4" t="s">
        <v>164</v>
      </c>
      <c r="C35" s="4" t="s">
        <v>551</v>
      </c>
      <c r="D35" s="4" t="s">
        <v>554</v>
      </c>
      <c r="E35" s="17" t="s">
        <v>553</v>
      </c>
    </row>
    <row r="36" spans="1:5" s="3" customFormat="1" ht="12.75">
      <c r="A36" s="13" t="s">
        <v>552</v>
      </c>
      <c r="B36" s="4" t="s">
        <v>164</v>
      </c>
      <c r="C36" s="4" t="s">
        <v>551</v>
      </c>
      <c r="D36" s="4" t="s">
        <v>550</v>
      </c>
      <c r="E36" s="17" t="s">
        <v>549</v>
      </c>
    </row>
  </sheetData>
  <sheetProtection/>
  <mergeCells count="12">
    <mergeCell ref="F3:F4"/>
    <mergeCell ref="G3:H3"/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4" width="10.625" style="4" bestFit="1" customWidth="1"/>
    <col min="5" max="5" width="22.75390625" style="4" bestFit="1" customWidth="1"/>
    <col min="6" max="6" width="26.00390625" style="4" bestFit="1" customWidth="1"/>
    <col min="7" max="7" width="5.625" style="3" bestFit="1" customWidth="1"/>
    <col min="8" max="8" width="4.625" style="20" bestFit="1" customWidth="1"/>
    <col min="9" max="9" width="7.875" style="4" bestFit="1" customWidth="1"/>
    <col min="10" max="10" width="7.625" style="3" bestFit="1" customWidth="1"/>
    <col min="11" max="11" width="15.75390625" style="4" bestFit="1" customWidth="1"/>
    <col min="12" max="16384" width="9.125" style="3" customWidth="1"/>
  </cols>
  <sheetData>
    <row r="1" spans="1:11" s="2" customFormat="1" ht="28.5" customHeight="1">
      <c r="A1" s="46" t="s">
        <v>586</v>
      </c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1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8"/>
    </row>
    <row r="3" spans="1:11" s="1" customFormat="1" ht="12.75" customHeight="1">
      <c r="A3" s="39" t="s">
        <v>0</v>
      </c>
      <c r="B3" s="41" t="s">
        <v>10</v>
      </c>
      <c r="C3" s="41" t="s">
        <v>11</v>
      </c>
      <c r="D3" s="43" t="s">
        <v>581</v>
      </c>
      <c r="E3" s="43" t="s">
        <v>7</v>
      </c>
      <c r="F3" s="43" t="s">
        <v>12</v>
      </c>
      <c r="G3" s="43" t="s">
        <v>580</v>
      </c>
      <c r="H3" s="43"/>
      <c r="I3" s="43" t="s">
        <v>55</v>
      </c>
      <c r="J3" s="43" t="s">
        <v>6</v>
      </c>
      <c r="K3" s="31" t="s">
        <v>5</v>
      </c>
    </row>
    <row r="4" spans="1:11" s="1" customFormat="1" ht="21" customHeight="1" thickBot="1">
      <c r="A4" s="40"/>
      <c r="B4" s="42"/>
      <c r="C4" s="42"/>
      <c r="D4" s="42"/>
      <c r="E4" s="42"/>
      <c r="F4" s="42"/>
      <c r="G4" s="27" t="s">
        <v>53</v>
      </c>
      <c r="H4" s="18" t="s">
        <v>54</v>
      </c>
      <c r="I4" s="42"/>
      <c r="J4" s="42"/>
      <c r="K4" s="32"/>
    </row>
    <row r="5" spans="1:10" ht="15">
      <c r="A5" s="44" t="s">
        <v>579</v>
      </c>
      <c r="B5" s="45"/>
      <c r="C5" s="45"/>
      <c r="D5" s="45"/>
      <c r="E5" s="45"/>
      <c r="F5" s="45"/>
      <c r="G5" s="45"/>
      <c r="H5" s="45"/>
      <c r="I5" s="45"/>
      <c r="J5" s="45"/>
    </row>
    <row r="6" spans="1:11" ht="12.75">
      <c r="A6" s="8" t="s">
        <v>300</v>
      </c>
      <c r="B6" s="8" t="s">
        <v>299</v>
      </c>
      <c r="C6" s="8" t="s">
        <v>298</v>
      </c>
      <c r="D6" s="8" t="str">
        <f>"1,0000"</f>
        <v>1,0000</v>
      </c>
      <c r="E6" s="8" t="s">
        <v>21</v>
      </c>
      <c r="F6" s="8" t="s">
        <v>22</v>
      </c>
      <c r="G6" s="9" t="s">
        <v>214</v>
      </c>
      <c r="H6" s="19" t="s">
        <v>585</v>
      </c>
      <c r="I6" s="8" t="str">
        <f>"3700,0"</f>
        <v>3700,0</v>
      </c>
      <c r="J6" s="9" t="str">
        <f>"35,4406"</f>
        <v>35,4406</v>
      </c>
      <c r="K6" s="8" t="s">
        <v>33</v>
      </c>
    </row>
    <row r="8" spans="5:6" ht="15">
      <c r="E8" s="10" t="s">
        <v>34</v>
      </c>
      <c r="F8" s="28" t="s">
        <v>120</v>
      </c>
    </row>
    <row r="9" spans="5:6" ht="15">
      <c r="E9" s="10" t="s">
        <v>35</v>
      </c>
      <c r="F9" s="28" t="s">
        <v>121</v>
      </c>
    </row>
    <row r="10" spans="5:6" ht="15">
      <c r="E10" s="10" t="s">
        <v>36</v>
      </c>
      <c r="F10" s="28" t="s">
        <v>123</v>
      </c>
    </row>
    <row r="11" spans="5:6" ht="15">
      <c r="E11" s="10" t="s">
        <v>37</v>
      </c>
      <c r="F11" s="28" t="s">
        <v>122</v>
      </c>
    </row>
    <row r="12" spans="5:6" ht="15">
      <c r="E12" s="10" t="s">
        <v>37</v>
      </c>
      <c r="F12" s="28" t="s">
        <v>121</v>
      </c>
    </row>
    <row r="13" spans="5:6" ht="15">
      <c r="E13" s="10" t="s">
        <v>38</v>
      </c>
      <c r="F13" s="28" t="s">
        <v>124</v>
      </c>
    </row>
    <row r="14" ht="15">
      <c r="E14" s="10"/>
    </row>
    <row r="16" spans="1:2" ht="18">
      <c r="A16" s="11" t="s">
        <v>39</v>
      </c>
      <c r="B16" s="11"/>
    </row>
    <row r="17" spans="1:5" s="3" customFormat="1" ht="15">
      <c r="A17" s="12" t="s">
        <v>40</v>
      </c>
      <c r="B17" s="12"/>
      <c r="C17" s="4"/>
      <c r="D17" s="4"/>
      <c r="E17" s="4"/>
    </row>
    <row r="18" spans="1:5" s="3" customFormat="1" ht="14.25">
      <c r="A18" s="14"/>
      <c r="B18" s="15" t="s">
        <v>41</v>
      </c>
      <c r="C18" s="4"/>
      <c r="D18" s="4"/>
      <c r="E18" s="4"/>
    </row>
    <row r="19" spans="1:5" s="3" customFormat="1" ht="15">
      <c r="A19" s="16" t="s">
        <v>42</v>
      </c>
      <c r="B19" s="16" t="s">
        <v>43</v>
      </c>
      <c r="C19" s="16" t="s">
        <v>44</v>
      </c>
      <c r="D19" s="16" t="s">
        <v>45</v>
      </c>
      <c r="E19" s="16" t="s">
        <v>556</v>
      </c>
    </row>
    <row r="20" spans="1:5" s="3" customFormat="1" ht="12.75">
      <c r="A20" s="13" t="s">
        <v>290</v>
      </c>
      <c r="B20" s="4" t="s">
        <v>41</v>
      </c>
      <c r="C20" s="4" t="s">
        <v>551</v>
      </c>
      <c r="D20" s="4" t="s">
        <v>584</v>
      </c>
      <c r="E20" s="17" t="s">
        <v>583</v>
      </c>
    </row>
  </sheetData>
  <sheetProtection/>
  <mergeCells count="12">
    <mergeCell ref="F3:F4"/>
    <mergeCell ref="G3:H3"/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I28" sqref="I28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4" width="10.625" style="4" bestFit="1" customWidth="1"/>
    <col min="5" max="5" width="22.75390625" style="4" bestFit="1" customWidth="1"/>
    <col min="6" max="6" width="26.00390625" style="4" bestFit="1" customWidth="1"/>
    <col min="7" max="7" width="4.625" style="3" bestFit="1" customWidth="1"/>
    <col min="8" max="8" width="4.625" style="20" bestFit="1" customWidth="1"/>
    <col min="9" max="9" width="7.875" style="4" bestFit="1" customWidth="1"/>
    <col min="10" max="10" width="7.625" style="3" bestFit="1" customWidth="1"/>
    <col min="11" max="11" width="16.625" style="4" bestFit="1" customWidth="1"/>
    <col min="12" max="16384" width="9.125" style="3" customWidth="1"/>
  </cols>
  <sheetData>
    <row r="1" spans="1:11" s="2" customFormat="1" ht="28.5" customHeight="1">
      <c r="A1" s="46" t="s">
        <v>619</v>
      </c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1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8"/>
    </row>
    <row r="3" spans="1:11" s="1" customFormat="1" ht="12.75" customHeight="1">
      <c r="A3" s="39" t="s">
        <v>0</v>
      </c>
      <c r="B3" s="41" t="s">
        <v>10</v>
      </c>
      <c r="C3" s="41" t="s">
        <v>11</v>
      </c>
      <c r="D3" s="43" t="s">
        <v>581</v>
      </c>
      <c r="E3" s="43" t="s">
        <v>7</v>
      </c>
      <c r="F3" s="43" t="s">
        <v>12</v>
      </c>
      <c r="G3" s="43" t="s">
        <v>580</v>
      </c>
      <c r="H3" s="43"/>
      <c r="I3" s="43" t="s">
        <v>55</v>
      </c>
      <c r="J3" s="43" t="s">
        <v>6</v>
      </c>
      <c r="K3" s="31" t="s">
        <v>5</v>
      </c>
    </row>
    <row r="4" spans="1:11" s="1" customFormat="1" ht="21" customHeight="1" thickBot="1">
      <c r="A4" s="40"/>
      <c r="B4" s="42"/>
      <c r="C4" s="42"/>
      <c r="D4" s="42"/>
      <c r="E4" s="42"/>
      <c r="F4" s="42"/>
      <c r="G4" s="27" t="s">
        <v>53</v>
      </c>
      <c r="H4" s="18" t="s">
        <v>54</v>
      </c>
      <c r="I4" s="42"/>
      <c r="J4" s="42"/>
      <c r="K4" s="32"/>
    </row>
    <row r="5" spans="1:10" ht="15">
      <c r="A5" s="44" t="s">
        <v>579</v>
      </c>
      <c r="B5" s="45"/>
      <c r="C5" s="45"/>
      <c r="D5" s="45"/>
      <c r="E5" s="45"/>
      <c r="F5" s="45"/>
      <c r="G5" s="45"/>
      <c r="H5" s="45"/>
      <c r="I5" s="45"/>
      <c r="J5" s="45"/>
    </row>
    <row r="6" spans="1:11" ht="12.75">
      <c r="A6" s="21" t="s">
        <v>618</v>
      </c>
      <c r="B6" s="21" t="s">
        <v>617</v>
      </c>
      <c r="C6" s="21" t="s">
        <v>308</v>
      </c>
      <c r="D6" s="21" t="str">
        <f>"1,0000"</f>
        <v>1,0000</v>
      </c>
      <c r="E6" s="21" t="s">
        <v>150</v>
      </c>
      <c r="F6" s="21" t="s">
        <v>22</v>
      </c>
      <c r="G6" s="22" t="s">
        <v>376</v>
      </c>
      <c r="H6" s="25" t="s">
        <v>376</v>
      </c>
      <c r="I6" s="21" t="str">
        <f>"3025,0"</f>
        <v>3025,0</v>
      </c>
      <c r="J6" s="22" t="str">
        <f>"37,4381"</f>
        <v>37,4381</v>
      </c>
      <c r="K6" s="21" t="s">
        <v>313</v>
      </c>
    </row>
    <row r="7" spans="1:11" ht="12.75">
      <c r="A7" s="52" t="s">
        <v>604</v>
      </c>
      <c r="B7" s="52" t="s">
        <v>616</v>
      </c>
      <c r="C7" s="52" t="s">
        <v>615</v>
      </c>
      <c r="D7" s="52" t="str">
        <f>"1,0000"</f>
        <v>1,0000</v>
      </c>
      <c r="E7" s="52" t="s">
        <v>150</v>
      </c>
      <c r="F7" s="52" t="s">
        <v>22</v>
      </c>
      <c r="G7" s="53" t="s">
        <v>376</v>
      </c>
      <c r="H7" s="55" t="s">
        <v>614</v>
      </c>
      <c r="I7" s="52" t="str">
        <f>"2530,0"</f>
        <v>2530,0</v>
      </c>
      <c r="J7" s="53" t="str">
        <f>"30,8536"</f>
        <v>30,8536</v>
      </c>
      <c r="K7" s="52" t="s">
        <v>313</v>
      </c>
    </row>
    <row r="8" spans="1:11" ht="12.75">
      <c r="A8" s="52" t="s">
        <v>613</v>
      </c>
      <c r="B8" s="52" t="s">
        <v>612</v>
      </c>
      <c r="C8" s="52" t="s">
        <v>611</v>
      </c>
      <c r="D8" s="52" t="str">
        <f>"1,0000"</f>
        <v>1,0000</v>
      </c>
      <c r="E8" s="52" t="s">
        <v>21</v>
      </c>
      <c r="F8" s="52" t="s">
        <v>22</v>
      </c>
      <c r="G8" s="53" t="s">
        <v>376</v>
      </c>
      <c r="H8" s="55" t="s">
        <v>610</v>
      </c>
      <c r="I8" s="52" t="str">
        <f>"2640,0"</f>
        <v>2640,0</v>
      </c>
      <c r="J8" s="53" t="str">
        <f>"32,8767"</f>
        <v>32,8767</v>
      </c>
      <c r="K8" s="52" t="s">
        <v>33</v>
      </c>
    </row>
    <row r="9" spans="1:11" ht="12.75">
      <c r="A9" s="52" t="s">
        <v>609</v>
      </c>
      <c r="B9" s="52" t="s">
        <v>318</v>
      </c>
      <c r="C9" s="52" t="s">
        <v>317</v>
      </c>
      <c r="D9" s="52" t="str">
        <f>"1,0000"</f>
        <v>1,0000</v>
      </c>
      <c r="E9" s="52" t="s">
        <v>150</v>
      </c>
      <c r="F9" s="52" t="s">
        <v>22</v>
      </c>
      <c r="G9" s="53" t="s">
        <v>376</v>
      </c>
      <c r="H9" s="55" t="s">
        <v>570</v>
      </c>
      <c r="I9" s="52" t="str">
        <f>"1705,0"</f>
        <v>1705,0</v>
      </c>
      <c r="J9" s="53" t="str">
        <f>"26,1102"</f>
        <v>26,1102</v>
      </c>
      <c r="K9" s="52" t="s">
        <v>313</v>
      </c>
    </row>
    <row r="10" spans="1:11" ht="12.75">
      <c r="A10" s="52" t="s">
        <v>608</v>
      </c>
      <c r="B10" s="52" t="s">
        <v>607</v>
      </c>
      <c r="C10" s="52" t="s">
        <v>606</v>
      </c>
      <c r="D10" s="52" t="str">
        <f>"1,0000"</f>
        <v>1,0000</v>
      </c>
      <c r="E10" s="52" t="s">
        <v>150</v>
      </c>
      <c r="F10" s="52" t="s">
        <v>22</v>
      </c>
      <c r="G10" s="53" t="s">
        <v>376</v>
      </c>
      <c r="H10" s="55" t="s">
        <v>605</v>
      </c>
      <c r="I10" s="52" t="str">
        <f>"2255,0"</f>
        <v>2255,0</v>
      </c>
      <c r="J10" s="53" t="str">
        <f>"27,5672"</f>
        <v>27,5672</v>
      </c>
      <c r="K10" s="52" t="s">
        <v>313</v>
      </c>
    </row>
    <row r="11" spans="1:11" ht="12.75">
      <c r="A11" s="23" t="s">
        <v>604</v>
      </c>
      <c r="B11" s="23" t="s">
        <v>603</v>
      </c>
      <c r="C11" s="23" t="s">
        <v>602</v>
      </c>
      <c r="D11" s="23" t="str">
        <f>"1,0000"</f>
        <v>1,0000</v>
      </c>
      <c r="E11" s="23" t="s">
        <v>150</v>
      </c>
      <c r="F11" s="23" t="s">
        <v>22</v>
      </c>
      <c r="G11" s="24" t="s">
        <v>376</v>
      </c>
      <c r="H11" s="26" t="s">
        <v>126</v>
      </c>
      <c r="I11" s="23" t="str">
        <f>"4125,0"</f>
        <v>4125,0</v>
      </c>
      <c r="J11" s="24" t="str">
        <f>"46,5050"</f>
        <v>46,5050</v>
      </c>
      <c r="K11" s="23" t="s">
        <v>313</v>
      </c>
    </row>
    <row r="13" spans="5:6" ht="15">
      <c r="E13" s="10" t="s">
        <v>34</v>
      </c>
      <c r="F13" s="28" t="s">
        <v>120</v>
      </c>
    </row>
    <row r="14" spans="5:6" ht="15">
      <c r="E14" s="10" t="s">
        <v>35</v>
      </c>
      <c r="F14" s="28" t="s">
        <v>121</v>
      </c>
    </row>
    <row r="15" spans="5:6" ht="15">
      <c r="E15" s="10" t="s">
        <v>36</v>
      </c>
      <c r="F15" s="28" t="s">
        <v>123</v>
      </c>
    </row>
    <row r="16" spans="5:6" ht="15">
      <c r="E16" s="10" t="s">
        <v>37</v>
      </c>
      <c r="F16" s="28" t="s">
        <v>122</v>
      </c>
    </row>
    <row r="17" spans="1:6" s="3" customFormat="1" ht="15">
      <c r="A17" s="4"/>
      <c r="B17" s="4"/>
      <c r="C17" s="4"/>
      <c r="D17" s="4"/>
      <c r="E17" s="10" t="s">
        <v>37</v>
      </c>
      <c r="F17" s="28" t="s">
        <v>121</v>
      </c>
    </row>
    <row r="18" spans="1:6" s="3" customFormat="1" ht="15">
      <c r="A18" s="4"/>
      <c r="B18" s="4"/>
      <c r="C18" s="4"/>
      <c r="D18" s="4"/>
      <c r="E18" s="10" t="s">
        <v>38</v>
      </c>
      <c r="F18" s="28" t="s">
        <v>124</v>
      </c>
    </row>
    <row r="19" spans="1:6" s="3" customFormat="1" ht="15">
      <c r="A19" s="4"/>
      <c r="B19" s="4"/>
      <c r="C19" s="4"/>
      <c r="D19" s="4"/>
      <c r="E19" s="10"/>
      <c r="F19" s="4"/>
    </row>
    <row r="21" spans="1:6" s="3" customFormat="1" ht="18">
      <c r="A21" s="11" t="s">
        <v>39</v>
      </c>
      <c r="B21" s="11"/>
      <c r="C21" s="4"/>
      <c r="D21" s="4"/>
      <c r="E21" s="4"/>
      <c r="F21" s="4"/>
    </row>
    <row r="22" spans="1:6" s="3" customFormat="1" ht="15">
      <c r="A22" s="12" t="s">
        <v>40</v>
      </c>
      <c r="B22" s="12"/>
      <c r="C22" s="4"/>
      <c r="D22" s="4"/>
      <c r="E22" s="4"/>
      <c r="F22" s="4"/>
    </row>
    <row r="23" spans="1:6" s="3" customFormat="1" ht="14.25">
      <c r="A23" s="14"/>
      <c r="B23" s="15" t="s">
        <v>178</v>
      </c>
      <c r="C23" s="4"/>
      <c r="D23" s="4"/>
      <c r="E23" s="4"/>
      <c r="F23" s="4"/>
    </row>
    <row r="24" spans="1:6" s="3" customFormat="1" ht="15">
      <c r="A24" s="16" t="s">
        <v>42</v>
      </c>
      <c r="B24" s="16" t="s">
        <v>43</v>
      </c>
      <c r="C24" s="16" t="s">
        <v>44</v>
      </c>
      <c r="D24" s="16" t="s">
        <v>45</v>
      </c>
      <c r="E24" s="16" t="s">
        <v>556</v>
      </c>
      <c r="F24" s="4"/>
    </row>
    <row r="25" spans="1:6" s="3" customFormat="1" ht="12.75">
      <c r="A25" s="13" t="s">
        <v>601</v>
      </c>
      <c r="B25" s="4" t="s">
        <v>359</v>
      </c>
      <c r="C25" s="4" t="s">
        <v>551</v>
      </c>
      <c r="D25" s="4" t="s">
        <v>600</v>
      </c>
      <c r="E25" s="17" t="s">
        <v>599</v>
      </c>
      <c r="F25" s="4"/>
    </row>
    <row r="26" spans="1:6" s="3" customFormat="1" ht="12.75">
      <c r="A26" s="13" t="s">
        <v>592</v>
      </c>
      <c r="B26" s="4" t="s">
        <v>176</v>
      </c>
      <c r="C26" s="4" t="s">
        <v>551</v>
      </c>
      <c r="D26" s="4" t="s">
        <v>598</v>
      </c>
      <c r="E26" s="17" t="s">
        <v>597</v>
      </c>
      <c r="F26" s="4"/>
    </row>
    <row r="28" spans="1:6" s="3" customFormat="1" ht="14.25">
      <c r="A28" s="14"/>
      <c r="B28" s="15" t="s">
        <v>41</v>
      </c>
      <c r="C28" s="4"/>
      <c r="D28" s="4"/>
      <c r="E28" s="4"/>
      <c r="F28" s="4"/>
    </row>
    <row r="29" spans="1:6" s="3" customFormat="1" ht="15">
      <c r="A29" s="16" t="s">
        <v>42</v>
      </c>
      <c r="B29" s="16" t="s">
        <v>43</v>
      </c>
      <c r="C29" s="16" t="s">
        <v>44</v>
      </c>
      <c r="D29" s="16" t="s">
        <v>45</v>
      </c>
      <c r="E29" s="16" t="s">
        <v>556</v>
      </c>
      <c r="F29" s="4"/>
    </row>
    <row r="30" spans="1:6" s="3" customFormat="1" ht="12.75">
      <c r="A30" s="13" t="s">
        <v>596</v>
      </c>
      <c r="B30" s="4" t="s">
        <v>41</v>
      </c>
      <c r="C30" s="4" t="s">
        <v>551</v>
      </c>
      <c r="D30" s="4" t="s">
        <v>595</v>
      </c>
      <c r="E30" s="17" t="s">
        <v>594</v>
      </c>
      <c r="F30" s="4"/>
    </row>
    <row r="31" spans="1:6" s="3" customFormat="1" ht="12.75">
      <c r="A31" s="13" t="s">
        <v>279</v>
      </c>
      <c r="B31" s="4" t="s">
        <v>41</v>
      </c>
      <c r="C31" s="4" t="s">
        <v>551</v>
      </c>
      <c r="D31" s="4" t="s">
        <v>554</v>
      </c>
      <c r="E31" s="17" t="s">
        <v>593</v>
      </c>
      <c r="F31" s="4"/>
    </row>
    <row r="33" spans="1:5" s="3" customFormat="1" ht="14.25">
      <c r="A33" s="14"/>
      <c r="B33" s="15" t="s">
        <v>116</v>
      </c>
      <c r="C33" s="4"/>
      <c r="D33" s="4"/>
      <c r="E33" s="4"/>
    </row>
    <row r="34" spans="1:5" s="3" customFormat="1" ht="15">
      <c r="A34" s="16" t="s">
        <v>42</v>
      </c>
      <c r="B34" s="16" t="s">
        <v>43</v>
      </c>
      <c r="C34" s="16" t="s">
        <v>44</v>
      </c>
      <c r="D34" s="16" t="s">
        <v>45</v>
      </c>
      <c r="E34" s="16" t="s">
        <v>556</v>
      </c>
    </row>
    <row r="35" spans="1:5" s="3" customFormat="1" ht="12.75">
      <c r="A35" s="13" t="s">
        <v>592</v>
      </c>
      <c r="B35" s="4" t="s">
        <v>160</v>
      </c>
      <c r="C35" s="4" t="s">
        <v>551</v>
      </c>
      <c r="D35" s="4" t="s">
        <v>591</v>
      </c>
      <c r="E35" s="17" t="s">
        <v>590</v>
      </c>
    </row>
    <row r="36" spans="1:5" s="3" customFormat="1" ht="12.75">
      <c r="A36" s="13" t="s">
        <v>589</v>
      </c>
      <c r="B36" s="4" t="s">
        <v>145</v>
      </c>
      <c r="C36" s="4" t="s">
        <v>551</v>
      </c>
      <c r="D36" s="4" t="s">
        <v>588</v>
      </c>
      <c r="E36" s="17" t="s">
        <v>587</v>
      </c>
    </row>
  </sheetData>
  <sheetProtection/>
  <mergeCells count="12">
    <mergeCell ref="F3:F4"/>
    <mergeCell ref="G3:H3"/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I26" sqref="I26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29.875" style="4" bestFit="1" customWidth="1"/>
    <col min="7" max="7" width="4.625" style="3" bestFit="1" customWidth="1"/>
    <col min="8" max="8" width="4.625" style="20" bestFit="1" customWidth="1"/>
    <col min="9" max="9" width="7.875" style="4" bestFit="1" customWidth="1"/>
    <col min="10" max="10" width="9.625" style="3" bestFit="1" customWidth="1"/>
    <col min="11" max="11" width="15.75390625" style="4" bestFit="1" customWidth="1"/>
    <col min="12" max="16384" width="9.125" style="3" customWidth="1"/>
  </cols>
  <sheetData>
    <row r="1" spans="1:11" s="2" customFormat="1" ht="28.5" customHeight="1">
      <c r="A1" s="46" t="s">
        <v>79</v>
      </c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1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8"/>
    </row>
    <row r="3" spans="1:11" s="1" customFormat="1" ht="12.75" customHeight="1">
      <c r="A3" s="39" t="s">
        <v>0</v>
      </c>
      <c r="B3" s="41" t="s">
        <v>10</v>
      </c>
      <c r="C3" s="41" t="s">
        <v>11</v>
      </c>
      <c r="D3" s="43" t="s">
        <v>14</v>
      </c>
      <c r="E3" s="43" t="s">
        <v>7</v>
      </c>
      <c r="F3" s="43" t="s">
        <v>12</v>
      </c>
      <c r="G3" s="43" t="s">
        <v>15</v>
      </c>
      <c r="H3" s="43"/>
      <c r="I3" s="43" t="s">
        <v>55</v>
      </c>
      <c r="J3" s="43" t="s">
        <v>6</v>
      </c>
      <c r="K3" s="31" t="s">
        <v>5</v>
      </c>
    </row>
    <row r="4" spans="1:11" s="1" customFormat="1" ht="21" customHeight="1" thickBot="1">
      <c r="A4" s="40"/>
      <c r="B4" s="42"/>
      <c r="C4" s="42"/>
      <c r="D4" s="42"/>
      <c r="E4" s="42"/>
      <c r="F4" s="42"/>
      <c r="G4" s="7" t="s">
        <v>53</v>
      </c>
      <c r="H4" s="18" t="s">
        <v>54</v>
      </c>
      <c r="I4" s="42"/>
      <c r="J4" s="42"/>
      <c r="K4" s="32"/>
    </row>
    <row r="5" spans="1:10" ht="15">
      <c r="A5" s="44" t="s">
        <v>80</v>
      </c>
      <c r="B5" s="45"/>
      <c r="C5" s="45"/>
      <c r="D5" s="45"/>
      <c r="E5" s="45"/>
      <c r="F5" s="45"/>
      <c r="G5" s="45"/>
      <c r="H5" s="45"/>
      <c r="I5" s="45"/>
      <c r="J5" s="45"/>
    </row>
    <row r="6" spans="1:11" ht="12.75">
      <c r="A6" s="8" t="s">
        <v>82</v>
      </c>
      <c r="B6" s="8" t="s">
        <v>83</v>
      </c>
      <c r="C6" s="8" t="s">
        <v>84</v>
      </c>
      <c r="D6" s="8" t="str">
        <f>"0,8325"</f>
        <v>0,8325</v>
      </c>
      <c r="E6" s="8" t="s">
        <v>21</v>
      </c>
      <c r="F6" s="8" t="s">
        <v>22</v>
      </c>
      <c r="G6" s="9" t="s">
        <v>85</v>
      </c>
      <c r="H6" s="19" t="s">
        <v>71</v>
      </c>
      <c r="I6" s="8" t="str">
        <f>"2465,0"</f>
        <v>2465,0</v>
      </c>
      <c r="J6" s="9" t="str">
        <f>"2052,1125"</f>
        <v>2052,1125</v>
      </c>
      <c r="K6" s="8" t="s">
        <v>33</v>
      </c>
    </row>
    <row r="8" spans="1:10" ht="15">
      <c r="A8" s="47" t="s">
        <v>16</v>
      </c>
      <c r="B8" s="48"/>
      <c r="C8" s="48"/>
      <c r="D8" s="48"/>
      <c r="E8" s="48"/>
      <c r="F8" s="48"/>
      <c r="G8" s="48"/>
      <c r="H8" s="48"/>
      <c r="I8" s="48"/>
      <c r="J8" s="48"/>
    </row>
    <row r="9" spans="1:11" ht="12.75">
      <c r="A9" s="21" t="s">
        <v>87</v>
      </c>
      <c r="B9" s="21" t="s">
        <v>88</v>
      </c>
      <c r="C9" s="21" t="s">
        <v>89</v>
      </c>
      <c r="D9" s="21" t="str">
        <f>"0,7929"</f>
        <v>0,7929</v>
      </c>
      <c r="E9" s="21" t="s">
        <v>90</v>
      </c>
      <c r="F9" s="21" t="s">
        <v>91</v>
      </c>
      <c r="G9" s="22" t="s">
        <v>23</v>
      </c>
      <c r="H9" s="25" t="s">
        <v>92</v>
      </c>
      <c r="I9" s="21" t="str">
        <f>"2880,0"</f>
        <v>2880,0</v>
      </c>
      <c r="J9" s="22" t="str">
        <f>"2283,5521"</f>
        <v>2283,5521</v>
      </c>
      <c r="K9" s="21" t="s">
        <v>93</v>
      </c>
    </row>
    <row r="10" spans="1:11" ht="12.75">
      <c r="A10" s="23" t="s">
        <v>95</v>
      </c>
      <c r="B10" s="23" t="s">
        <v>96</v>
      </c>
      <c r="C10" s="23" t="s">
        <v>97</v>
      </c>
      <c r="D10" s="23" t="str">
        <f>"0,7573"</f>
        <v>0,7573</v>
      </c>
      <c r="E10" s="23" t="s">
        <v>21</v>
      </c>
      <c r="F10" s="23" t="s">
        <v>22</v>
      </c>
      <c r="G10" s="24" t="s">
        <v>98</v>
      </c>
      <c r="H10" s="26" t="s">
        <v>99</v>
      </c>
      <c r="I10" s="23" t="str">
        <f>"2145,0"</f>
        <v>2145,0</v>
      </c>
      <c r="J10" s="24" t="str">
        <f>"1624,4085"</f>
        <v>1624,4085</v>
      </c>
      <c r="K10" s="23" t="s">
        <v>33</v>
      </c>
    </row>
    <row r="12" spans="5:6" ht="15">
      <c r="E12" s="10" t="s">
        <v>34</v>
      </c>
      <c r="F12" s="28" t="s">
        <v>120</v>
      </c>
    </row>
    <row r="13" spans="5:6" ht="15">
      <c r="E13" s="10" t="s">
        <v>35</v>
      </c>
      <c r="F13" s="28" t="s">
        <v>121</v>
      </c>
    </row>
    <row r="14" spans="5:6" ht="15">
      <c r="E14" s="10" t="s">
        <v>36</v>
      </c>
      <c r="F14" s="28" t="s">
        <v>122</v>
      </c>
    </row>
    <row r="15" spans="5:6" ht="15">
      <c r="E15" s="10" t="s">
        <v>37</v>
      </c>
      <c r="F15" s="28" t="s">
        <v>123</v>
      </c>
    </row>
    <row r="16" spans="5:6" ht="15">
      <c r="E16" s="10" t="s">
        <v>37</v>
      </c>
      <c r="F16" s="28" t="s">
        <v>121</v>
      </c>
    </row>
    <row r="17" spans="5:6" ht="15">
      <c r="E17" s="10" t="s">
        <v>38</v>
      </c>
      <c r="F17" s="28" t="s">
        <v>124</v>
      </c>
    </row>
    <row r="18" ht="15">
      <c r="E18" s="10"/>
    </row>
    <row r="20" spans="1:2" ht="18">
      <c r="A20" s="11" t="s">
        <v>39</v>
      </c>
      <c r="B20" s="11"/>
    </row>
    <row r="21" spans="1:2" ht="15">
      <c r="A21" s="12" t="s">
        <v>40</v>
      </c>
      <c r="B21" s="12"/>
    </row>
    <row r="22" spans="1:2" ht="14.25">
      <c r="A22" s="14"/>
      <c r="B22" s="15" t="s">
        <v>41</v>
      </c>
    </row>
    <row r="23" spans="1:5" ht="15">
      <c r="A23" s="16" t="s">
        <v>42</v>
      </c>
      <c r="B23" s="16" t="s">
        <v>43</v>
      </c>
      <c r="C23" s="16" t="s">
        <v>44</v>
      </c>
      <c r="D23" s="16" t="s">
        <v>45</v>
      </c>
      <c r="E23" s="16" t="s">
        <v>46</v>
      </c>
    </row>
    <row r="24" spans="1:5" ht="12.75">
      <c r="A24" s="13" t="s">
        <v>86</v>
      </c>
      <c r="B24" s="4" t="s">
        <v>41</v>
      </c>
      <c r="C24" s="4" t="s">
        <v>50</v>
      </c>
      <c r="D24" s="4" t="s">
        <v>100</v>
      </c>
      <c r="E24" s="17" t="s">
        <v>101</v>
      </c>
    </row>
    <row r="25" spans="1:5" ht="12.75">
      <c r="A25" s="13" t="s">
        <v>81</v>
      </c>
      <c r="B25" s="4" t="s">
        <v>41</v>
      </c>
      <c r="C25" s="4" t="s">
        <v>102</v>
      </c>
      <c r="D25" s="4" t="s">
        <v>103</v>
      </c>
      <c r="E25" s="17" t="s">
        <v>104</v>
      </c>
    </row>
    <row r="26" spans="1:5" ht="12.75">
      <c r="A26" s="13" t="s">
        <v>94</v>
      </c>
      <c r="B26" s="4" t="s">
        <v>41</v>
      </c>
      <c r="C26" s="4" t="s">
        <v>50</v>
      </c>
      <c r="D26" s="4" t="s">
        <v>105</v>
      </c>
      <c r="E26" s="17" t="s">
        <v>106</v>
      </c>
    </row>
  </sheetData>
  <sheetProtection/>
  <mergeCells count="13">
    <mergeCell ref="A5:J5"/>
    <mergeCell ref="A8:J8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26.00390625" style="4" bestFit="1" customWidth="1"/>
    <col min="7" max="7" width="4.625" style="3" bestFit="1" customWidth="1"/>
    <col min="8" max="8" width="4.625" style="20" bestFit="1" customWidth="1"/>
    <col min="9" max="9" width="7.875" style="4" bestFit="1" customWidth="1"/>
    <col min="10" max="10" width="9.625" style="3" bestFit="1" customWidth="1"/>
    <col min="11" max="11" width="22.375" style="4" bestFit="1" customWidth="1"/>
    <col min="12" max="16384" width="9.125" style="3" customWidth="1"/>
  </cols>
  <sheetData>
    <row r="1" spans="1:11" s="2" customFormat="1" ht="28.5" customHeight="1">
      <c r="A1" s="46" t="s">
        <v>56</v>
      </c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1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8"/>
    </row>
    <row r="3" spans="1:11" s="1" customFormat="1" ht="12.75" customHeight="1">
      <c r="A3" s="39" t="s">
        <v>0</v>
      </c>
      <c r="B3" s="41" t="s">
        <v>10</v>
      </c>
      <c r="C3" s="41" t="s">
        <v>11</v>
      </c>
      <c r="D3" s="43" t="s">
        <v>14</v>
      </c>
      <c r="E3" s="43" t="s">
        <v>7</v>
      </c>
      <c r="F3" s="43" t="s">
        <v>12</v>
      </c>
      <c r="G3" s="43" t="s">
        <v>15</v>
      </c>
      <c r="H3" s="43"/>
      <c r="I3" s="43" t="s">
        <v>55</v>
      </c>
      <c r="J3" s="43" t="s">
        <v>6</v>
      </c>
      <c r="K3" s="31" t="s">
        <v>5</v>
      </c>
    </row>
    <row r="4" spans="1:11" s="1" customFormat="1" ht="21" customHeight="1" thickBot="1">
      <c r="A4" s="40"/>
      <c r="B4" s="42"/>
      <c r="C4" s="42"/>
      <c r="D4" s="42"/>
      <c r="E4" s="42"/>
      <c r="F4" s="42"/>
      <c r="G4" s="7" t="s">
        <v>53</v>
      </c>
      <c r="H4" s="18" t="s">
        <v>54</v>
      </c>
      <c r="I4" s="42"/>
      <c r="J4" s="42"/>
      <c r="K4" s="32"/>
    </row>
    <row r="5" spans="1:10" ht="15">
      <c r="A5" s="44" t="s">
        <v>57</v>
      </c>
      <c r="B5" s="45"/>
      <c r="C5" s="45"/>
      <c r="D5" s="45"/>
      <c r="E5" s="45"/>
      <c r="F5" s="45"/>
      <c r="G5" s="45"/>
      <c r="H5" s="45"/>
      <c r="I5" s="45"/>
      <c r="J5" s="45"/>
    </row>
    <row r="6" spans="1:11" ht="12.75">
      <c r="A6" s="8" t="s">
        <v>59</v>
      </c>
      <c r="B6" s="8" t="s">
        <v>60</v>
      </c>
      <c r="C6" s="8" t="s">
        <v>61</v>
      </c>
      <c r="D6" s="8" t="str">
        <f>"0,9630"</f>
        <v>0,9630</v>
      </c>
      <c r="E6" s="8" t="s">
        <v>62</v>
      </c>
      <c r="F6" s="8" t="s">
        <v>22</v>
      </c>
      <c r="G6" s="9" t="s">
        <v>63</v>
      </c>
      <c r="H6" s="19" t="s">
        <v>64</v>
      </c>
      <c r="I6" s="8" t="str">
        <f>"1045,0"</f>
        <v>1045,0</v>
      </c>
      <c r="J6" s="9" t="str">
        <f>"1006,3350"</f>
        <v>1006,3350</v>
      </c>
      <c r="K6" s="8" t="s">
        <v>65</v>
      </c>
    </row>
    <row r="8" spans="1:10" ht="15">
      <c r="A8" s="47" t="s">
        <v>66</v>
      </c>
      <c r="B8" s="48"/>
      <c r="C8" s="48"/>
      <c r="D8" s="48"/>
      <c r="E8" s="48"/>
      <c r="F8" s="48"/>
      <c r="G8" s="48"/>
      <c r="H8" s="48"/>
      <c r="I8" s="48"/>
      <c r="J8" s="48"/>
    </row>
    <row r="9" spans="1:11" ht="12.75">
      <c r="A9" s="8" t="s">
        <v>68</v>
      </c>
      <c r="B9" s="8" t="s">
        <v>69</v>
      </c>
      <c r="C9" s="8" t="s">
        <v>70</v>
      </c>
      <c r="D9" s="8" t="str">
        <f>"0,9595"</f>
        <v>0,9595</v>
      </c>
      <c r="E9" s="8" t="s">
        <v>62</v>
      </c>
      <c r="F9" s="8" t="s">
        <v>22</v>
      </c>
      <c r="G9" s="9" t="s">
        <v>63</v>
      </c>
      <c r="H9" s="19" t="s">
        <v>71</v>
      </c>
      <c r="I9" s="8" t="str">
        <f>"935,0"</f>
        <v>935,0</v>
      </c>
      <c r="J9" s="9" t="str">
        <f>"897,1325"</f>
        <v>897,1325</v>
      </c>
      <c r="K9" s="8" t="s">
        <v>65</v>
      </c>
    </row>
    <row r="11" spans="5:6" ht="15">
      <c r="E11" s="10" t="s">
        <v>34</v>
      </c>
      <c r="F11" s="28" t="s">
        <v>120</v>
      </c>
    </row>
    <row r="12" spans="5:6" ht="15">
      <c r="E12" s="10" t="s">
        <v>35</v>
      </c>
      <c r="F12" s="28" t="s">
        <v>121</v>
      </c>
    </row>
    <row r="13" spans="5:6" ht="15">
      <c r="E13" s="10" t="s">
        <v>36</v>
      </c>
      <c r="F13" s="28" t="s">
        <v>122</v>
      </c>
    </row>
    <row r="14" spans="5:6" ht="15">
      <c r="E14" s="10" t="s">
        <v>37</v>
      </c>
      <c r="F14" s="28" t="s">
        <v>123</v>
      </c>
    </row>
    <row r="15" spans="5:6" ht="15">
      <c r="E15" s="10" t="s">
        <v>37</v>
      </c>
      <c r="F15" s="28" t="s">
        <v>121</v>
      </c>
    </row>
    <row r="16" spans="5:6" ht="15">
      <c r="E16" s="10" t="s">
        <v>38</v>
      </c>
      <c r="F16" s="28" t="s">
        <v>124</v>
      </c>
    </row>
    <row r="17" ht="15">
      <c r="E17" s="10"/>
    </row>
    <row r="19" spans="1:2" ht="18">
      <c r="A19" s="11" t="s">
        <v>39</v>
      </c>
      <c r="B19" s="11"/>
    </row>
    <row r="20" spans="1:2" ht="15">
      <c r="A20" s="12" t="s">
        <v>72</v>
      </c>
      <c r="B20" s="12"/>
    </row>
    <row r="21" spans="1:2" ht="14.25">
      <c r="A21" s="14"/>
      <c r="B21" s="15" t="s">
        <v>41</v>
      </c>
    </row>
    <row r="22" spans="1:5" ht="15">
      <c r="A22" s="16" t="s">
        <v>42</v>
      </c>
      <c r="B22" s="16" t="s">
        <v>43</v>
      </c>
      <c r="C22" s="16" t="s">
        <v>44</v>
      </c>
      <c r="D22" s="16" t="s">
        <v>45</v>
      </c>
      <c r="E22" s="16" t="s">
        <v>46</v>
      </c>
    </row>
    <row r="23" spans="1:5" ht="12.75">
      <c r="A23" s="13" t="s">
        <v>58</v>
      </c>
      <c r="B23" s="4" t="s">
        <v>41</v>
      </c>
      <c r="C23" s="4" t="s">
        <v>73</v>
      </c>
      <c r="D23" s="4" t="s">
        <v>74</v>
      </c>
      <c r="E23" s="17" t="s">
        <v>75</v>
      </c>
    </row>
    <row r="24" spans="1:5" ht="12.75">
      <c r="A24" s="13" t="s">
        <v>67</v>
      </c>
      <c r="B24" s="4" t="s">
        <v>41</v>
      </c>
      <c r="C24" s="4" t="s">
        <v>76</v>
      </c>
      <c r="D24" s="4" t="s">
        <v>77</v>
      </c>
      <c r="E24" s="17" t="s">
        <v>78</v>
      </c>
    </row>
  </sheetData>
  <sheetProtection/>
  <mergeCells count="13">
    <mergeCell ref="A5:J5"/>
    <mergeCell ref="A8:J8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26.00390625" style="4" bestFit="1" customWidth="1"/>
    <col min="7" max="7" width="4.625" style="3" bestFit="1" customWidth="1"/>
    <col min="8" max="8" width="4.625" style="20" bestFit="1" customWidth="1"/>
    <col min="9" max="9" width="7.875" style="4" bestFit="1" customWidth="1"/>
    <col min="10" max="10" width="9.625" style="3" bestFit="1" customWidth="1"/>
    <col min="11" max="11" width="15.75390625" style="4" bestFit="1" customWidth="1"/>
    <col min="12" max="16384" width="9.125" style="3" customWidth="1"/>
  </cols>
  <sheetData>
    <row r="1" spans="1:11" s="2" customFormat="1" ht="28.5" customHeight="1">
      <c r="A1" s="46" t="s">
        <v>13</v>
      </c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1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8"/>
    </row>
    <row r="3" spans="1:11" s="1" customFormat="1" ht="12.75" customHeight="1">
      <c r="A3" s="39" t="s">
        <v>0</v>
      </c>
      <c r="B3" s="41" t="s">
        <v>10</v>
      </c>
      <c r="C3" s="41" t="s">
        <v>11</v>
      </c>
      <c r="D3" s="43" t="s">
        <v>14</v>
      </c>
      <c r="E3" s="43" t="s">
        <v>7</v>
      </c>
      <c r="F3" s="43" t="s">
        <v>12</v>
      </c>
      <c r="G3" s="43" t="s">
        <v>15</v>
      </c>
      <c r="H3" s="43"/>
      <c r="I3" s="43" t="s">
        <v>55</v>
      </c>
      <c r="J3" s="43" t="s">
        <v>6</v>
      </c>
      <c r="K3" s="31" t="s">
        <v>5</v>
      </c>
    </row>
    <row r="4" spans="1:11" s="1" customFormat="1" ht="21" customHeight="1" thickBot="1">
      <c r="A4" s="40"/>
      <c r="B4" s="42"/>
      <c r="C4" s="42"/>
      <c r="D4" s="42"/>
      <c r="E4" s="42"/>
      <c r="F4" s="42"/>
      <c r="G4" s="7" t="s">
        <v>53</v>
      </c>
      <c r="H4" s="18" t="s">
        <v>54</v>
      </c>
      <c r="I4" s="42"/>
      <c r="J4" s="42"/>
      <c r="K4" s="32"/>
    </row>
    <row r="5" spans="1:10" ht="15">
      <c r="A5" s="44" t="s">
        <v>16</v>
      </c>
      <c r="B5" s="45"/>
      <c r="C5" s="45"/>
      <c r="D5" s="45"/>
      <c r="E5" s="45"/>
      <c r="F5" s="45"/>
      <c r="G5" s="45"/>
      <c r="H5" s="45"/>
      <c r="I5" s="45"/>
      <c r="J5" s="45"/>
    </row>
    <row r="6" spans="1:11" ht="12.75">
      <c r="A6" s="8" t="s">
        <v>18</v>
      </c>
      <c r="B6" s="8" t="s">
        <v>19</v>
      </c>
      <c r="C6" s="8" t="s">
        <v>20</v>
      </c>
      <c r="D6" s="8" t="str">
        <f>"0,7820"</f>
        <v>0,7820</v>
      </c>
      <c r="E6" s="8" t="s">
        <v>21</v>
      </c>
      <c r="F6" s="8" t="s">
        <v>22</v>
      </c>
      <c r="G6" s="9" t="s">
        <v>23</v>
      </c>
      <c r="H6" s="19" t="s">
        <v>24</v>
      </c>
      <c r="I6" s="8" t="str">
        <f>"1920,0"</f>
        <v>1920,0</v>
      </c>
      <c r="J6" s="9" t="str">
        <f>"1501,4400"</f>
        <v>1501,4400</v>
      </c>
      <c r="K6" s="8" t="s">
        <v>25</v>
      </c>
    </row>
    <row r="8" spans="1:10" ht="15">
      <c r="A8" s="47" t="s">
        <v>26</v>
      </c>
      <c r="B8" s="48"/>
      <c r="C8" s="48"/>
      <c r="D8" s="48"/>
      <c r="E8" s="48"/>
      <c r="F8" s="48"/>
      <c r="G8" s="48"/>
      <c r="H8" s="48"/>
      <c r="I8" s="48"/>
      <c r="J8" s="48"/>
    </row>
    <row r="9" spans="1:11" ht="12.75">
      <c r="A9" s="8" t="s">
        <v>28</v>
      </c>
      <c r="B9" s="8" t="s">
        <v>29</v>
      </c>
      <c r="C9" s="8" t="s">
        <v>30</v>
      </c>
      <c r="D9" s="8" t="str">
        <f>"0,7234"</f>
        <v>0,7234</v>
      </c>
      <c r="E9" s="8" t="s">
        <v>21</v>
      </c>
      <c r="F9" s="8" t="s">
        <v>22</v>
      </c>
      <c r="G9" s="9" t="s">
        <v>31</v>
      </c>
      <c r="H9" s="19" t="s">
        <v>32</v>
      </c>
      <c r="I9" s="8" t="str">
        <f>"2250,0"</f>
        <v>2250,0</v>
      </c>
      <c r="J9" s="9" t="str">
        <f>"1627,6500"</f>
        <v>1627,6500</v>
      </c>
      <c r="K9" s="8" t="s">
        <v>33</v>
      </c>
    </row>
    <row r="11" spans="5:6" ht="15">
      <c r="E11" s="10" t="s">
        <v>34</v>
      </c>
      <c r="F11" s="28" t="s">
        <v>120</v>
      </c>
    </row>
    <row r="12" spans="5:6" ht="15">
      <c r="E12" s="10" t="s">
        <v>35</v>
      </c>
      <c r="F12" s="28" t="s">
        <v>121</v>
      </c>
    </row>
    <row r="13" spans="5:6" ht="15">
      <c r="E13" s="10" t="s">
        <v>36</v>
      </c>
      <c r="F13" s="28" t="s">
        <v>122</v>
      </c>
    </row>
    <row r="14" spans="5:6" ht="15">
      <c r="E14" s="10" t="s">
        <v>37</v>
      </c>
      <c r="F14" s="28" t="s">
        <v>123</v>
      </c>
    </row>
    <row r="15" spans="5:6" ht="15">
      <c r="E15" s="10" t="s">
        <v>37</v>
      </c>
      <c r="F15" s="28" t="s">
        <v>121</v>
      </c>
    </row>
    <row r="16" spans="5:6" ht="15">
      <c r="E16" s="10" t="s">
        <v>38</v>
      </c>
      <c r="F16" s="28" t="s">
        <v>124</v>
      </c>
    </row>
    <row r="17" ht="15">
      <c r="E17" s="10"/>
    </row>
    <row r="19" spans="1:2" ht="18">
      <c r="A19" s="11" t="s">
        <v>39</v>
      </c>
      <c r="B19" s="11"/>
    </row>
    <row r="20" spans="1:2" ht="15">
      <c r="A20" s="12" t="s">
        <v>40</v>
      </c>
      <c r="B20" s="12"/>
    </row>
    <row r="21" spans="1:2" ht="14.25">
      <c r="A21" s="14"/>
      <c r="B21" s="15" t="s">
        <v>41</v>
      </c>
    </row>
    <row r="22" spans="1:5" ht="15">
      <c r="A22" s="16" t="s">
        <v>42</v>
      </c>
      <c r="B22" s="16" t="s">
        <v>43</v>
      </c>
      <c r="C22" s="16" t="s">
        <v>44</v>
      </c>
      <c r="D22" s="16" t="s">
        <v>45</v>
      </c>
      <c r="E22" s="16" t="s">
        <v>46</v>
      </c>
    </row>
    <row r="23" spans="1:5" ht="12.75">
      <c r="A23" s="13" t="s">
        <v>27</v>
      </c>
      <c r="B23" s="4" t="s">
        <v>41</v>
      </c>
      <c r="C23" s="4" t="s">
        <v>47</v>
      </c>
      <c r="D23" s="4" t="s">
        <v>48</v>
      </c>
      <c r="E23" s="17" t="s">
        <v>49</v>
      </c>
    </row>
    <row r="24" spans="1:5" ht="12.75">
      <c r="A24" s="13" t="s">
        <v>17</v>
      </c>
      <c r="B24" s="4" t="s">
        <v>41</v>
      </c>
      <c r="C24" s="4" t="s">
        <v>50</v>
      </c>
      <c r="D24" s="4" t="s">
        <v>51</v>
      </c>
      <c r="E24" s="17" t="s">
        <v>52</v>
      </c>
    </row>
  </sheetData>
  <sheetProtection/>
  <mergeCells count="13">
    <mergeCell ref="A5:J5"/>
    <mergeCell ref="A8:J8"/>
    <mergeCell ref="D3:D4"/>
    <mergeCell ref="I3:I4"/>
    <mergeCell ref="J3:J4"/>
    <mergeCell ref="A1:K2"/>
    <mergeCell ref="G3:H3"/>
    <mergeCell ref="A3:A4"/>
    <mergeCell ref="B3:B4"/>
    <mergeCell ref="C3:C4"/>
    <mergeCell ref="K3:K4"/>
    <mergeCell ref="F3:F4"/>
    <mergeCell ref="E3:E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6.00390625" style="4" bestFit="1" customWidth="1"/>
    <col min="7" max="9" width="4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5.75390625" style="4" bestFit="1" customWidth="1"/>
    <col min="14" max="16384" width="9.125" style="3" customWidth="1"/>
  </cols>
  <sheetData>
    <row r="1" spans="1:13" s="2" customFormat="1" ht="28.5" customHeight="1">
      <c r="A1" s="46" t="s">
        <v>136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11</v>
      </c>
      <c r="D3" s="43" t="s">
        <v>135</v>
      </c>
      <c r="E3" s="43" t="s">
        <v>7</v>
      </c>
      <c r="F3" s="43" t="s">
        <v>12</v>
      </c>
      <c r="G3" s="43" t="s">
        <v>134</v>
      </c>
      <c r="H3" s="43"/>
      <c r="I3" s="43"/>
      <c r="J3" s="43"/>
      <c r="K3" s="43" t="s">
        <v>133</v>
      </c>
      <c r="L3" s="43" t="s">
        <v>6</v>
      </c>
      <c r="M3" s="31" t="s">
        <v>5</v>
      </c>
    </row>
    <row r="4" spans="1:13" s="1" customFormat="1" ht="21" customHeight="1" thickBot="1">
      <c r="A4" s="40"/>
      <c r="B4" s="42"/>
      <c r="C4" s="42"/>
      <c r="D4" s="42"/>
      <c r="E4" s="42"/>
      <c r="F4" s="42"/>
      <c r="G4" s="27">
        <v>1</v>
      </c>
      <c r="H4" s="27">
        <v>2</v>
      </c>
      <c r="I4" s="27">
        <v>3</v>
      </c>
      <c r="J4" s="27" t="s">
        <v>8</v>
      </c>
      <c r="K4" s="42"/>
      <c r="L4" s="42"/>
      <c r="M4" s="32"/>
    </row>
    <row r="5" spans="1:12" ht="15">
      <c r="A5" s="44" t="s">
        <v>57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3" ht="12.75">
      <c r="A6" s="8" t="s">
        <v>132</v>
      </c>
      <c r="B6" s="8" t="s">
        <v>131</v>
      </c>
      <c r="C6" s="8" t="s">
        <v>130</v>
      </c>
      <c r="D6" s="8" t="str">
        <f>"0,9960"</f>
        <v>0,9960</v>
      </c>
      <c r="E6" s="8" t="s">
        <v>21</v>
      </c>
      <c r="F6" s="8" t="s">
        <v>22</v>
      </c>
      <c r="G6" s="9" t="s">
        <v>129</v>
      </c>
      <c r="H6" s="49" t="s">
        <v>126</v>
      </c>
      <c r="I6" s="9" t="s">
        <v>126</v>
      </c>
      <c r="J6" s="49"/>
      <c r="K6" s="8" t="str">
        <f>"75,0"</f>
        <v>75,0</v>
      </c>
      <c r="L6" s="9" t="str">
        <f>"74,7000"</f>
        <v>74,7000</v>
      </c>
      <c r="M6" s="8" t="s">
        <v>33</v>
      </c>
    </row>
    <row r="8" spans="5:6" ht="15">
      <c r="E8" s="10" t="s">
        <v>34</v>
      </c>
      <c r="F8" s="28" t="s">
        <v>120</v>
      </c>
    </row>
    <row r="9" spans="5:6" ht="15">
      <c r="E9" s="10" t="s">
        <v>35</v>
      </c>
      <c r="F9" s="28" t="s">
        <v>121</v>
      </c>
    </row>
    <row r="10" spans="5:6" ht="15">
      <c r="E10" s="10" t="s">
        <v>36</v>
      </c>
      <c r="F10" s="28" t="s">
        <v>122</v>
      </c>
    </row>
    <row r="11" spans="5:6" ht="15">
      <c r="E11" s="10" t="s">
        <v>37</v>
      </c>
      <c r="F11" s="28" t="s">
        <v>123</v>
      </c>
    </row>
    <row r="12" spans="5:6" ht="15">
      <c r="E12" s="10" t="s">
        <v>37</v>
      </c>
      <c r="F12" s="28" t="s">
        <v>121</v>
      </c>
    </row>
    <row r="13" spans="5:6" ht="15">
      <c r="E13" s="10" t="s">
        <v>38</v>
      </c>
      <c r="F13" s="28" t="s">
        <v>124</v>
      </c>
    </row>
    <row r="14" ht="15">
      <c r="E14" s="10"/>
    </row>
    <row r="16" spans="1:2" ht="18">
      <c r="A16" s="11" t="s">
        <v>39</v>
      </c>
      <c r="B16" s="11"/>
    </row>
    <row r="17" spans="1:5" s="3" customFormat="1" ht="15">
      <c r="A17" s="12" t="s">
        <v>72</v>
      </c>
      <c r="B17" s="12"/>
      <c r="C17" s="4"/>
      <c r="D17" s="4"/>
      <c r="E17" s="4"/>
    </row>
    <row r="18" spans="1:5" s="3" customFormat="1" ht="14.25">
      <c r="A18" s="14"/>
      <c r="B18" s="15" t="s">
        <v>41</v>
      </c>
      <c r="C18" s="4"/>
      <c r="D18" s="4"/>
      <c r="E18" s="4"/>
    </row>
    <row r="19" spans="1:5" s="3" customFormat="1" ht="15">
      <c r="A19" s="16" t="s">
        <v>42</v>
      </c>
      <c r="B19" s="16" t="s">
        <v>43</v>
      </c>
      <c r="C19" s="16" t="s">
        <v>44</v>
      </c>
      <c r="D19" s="16" t="s">
        <v>45</v>
      </c>
      <c r="E19" s="16" t="s">
        <v>128</v>
      </c>
    </row>
    <row r="20" spans="1:5" s="3" customFormat="1" ht="12.75">
      <c r="A20" s="13" t="s">
        <v>127</v>
      </c>
      <c r="B20" s="4" t="s">
        <v>41</v>
      </c>
      <c r="C20" s="4" t="s">
        <v>73</v>
      </c>
      <c r="D20" s="4" t="s">
        <v>126</v>
      </c>
      <c r="E20" s="17" t="s">
        <v>125</v>
      </c>
    </row>
  </sheetData>
  <sheetProtection/>
  <mergeCells count="12">
    <mergeCell ref="F3:F4"/>
    <mergeCell ref="G3:J3"/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G26" sqref="G26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3.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9.00390625" style="4" bestFit="1" customWidth="1"/>
    <col min="14" max="16384" width="9.125" style="3" customWidth="1"/>
  </cols>
  <sheetData>
    <row r="1" spans="1:13" s="2" customFormat="1" ht="28.5" customHeight="1">
      <c r="A1" s="46" t="s">
        <v>141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11</v>
      </c>
      <c r="D3" s="43" t="s">
        <v>135</v>
      </c>
      <c r="E3" s="43" t="s">
        <v>7</v>
      </c>
      <c r="F3" s="43" t="s">
        <v>12</v>
      </c>
      <c r="G3" s="43" t="s">
        <v>134</v>
      </c>
      <c r="H3" s="43"/>
      <c r="I3" s="43"/>
      <c r="J3" s="43"/>
      <c r="K3" s="43" t="s">
        <v>133</v>
      </c>
      <c r="L3" s="43" t="s">
        <v>6</v>
      </c>
      <c r="M3" s="31" t="s">
        <v>5</v>
      </c>
    </row>
    <row r="4" spans="1:13" s="1" customFormat="1" ht="21" customHeight="1" thickBot="1">
      <c r="A4" s="40"/>
      <c r="B4" s="42"/>
      <c r="C4" s="42"/>
      <c r="D4" s="42"/>
      <c r="E4" s="42"/>
      <c r="F4" s="42"/>
      <c r="G4" s="27">
        <v>1</v>
      </c>
      <c r="H4" s="27">
        <v>2</v>
      </c>
      <c r="I4" s="27">
        <v>3</v>
      </c>
      <c r="J4" s="27" t="s">
        <v>8</v>
      </c>
      <c r="K4" s="42"/>
      <c r="L4" s="42"/>
      <c r="M4" s="32"/>
    </row>
    <row r="5" spans="1:12" ht="15">
      <c r="A5" s="44" t="s">
        <v>26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3" ht="12.75">
      <c r="A6" s="8" t="s">
        <v>109</v>
      </c>
      <c r="B6" s="8" t="s">
        <v>110</v>
      </c>
      <c r="C6" s="8" t="s">
        <v>111</v>
      </c>
      <c r="D6" s="8" t="str">
        <f>"0,5869"</f>
        <v>0,5869</v>
      </c>
      <c r="E6" s="8" t="s">
        <v>90</v>
      </c>
      <c r="F6" s="8" t="s">
        <v>112</v>
      </c>
      <c r="G6" s="49" t="s">
        <v>140</v>
      </c>
      <c r="H6" s="9" t="s">
        <v>139</v>
      </c>
      <c r="I6" s="9" t="s">
        <v>138</v>
      </c>
      <c r="J6" s="49"/>
      <c r="K6" s="8" t="str">
        <f>"162,5"</f>
        <v>162,5</v>
      </c>
      <c r="L6" s="9" t="str">
        <f>"136,3809"</f>
        <v>136,3809</v>
      </c>
      <c r="M6" s="8" t="s">
        <v>115</v>
      </c>
    </row>
    <row r="8" spans="5:6" ht="15">
      <c r="E8" s="10" t="s">
        <v>34</v>
      </c>
      <c r="F8" s="28" t="s">
        <v>120</v>
      </c>
    </row>
    <row r="9" spans="5:6" ht="15">
      <c r="E9" s="10" t="s">
        <v>35</v>
      </c>
      <c r="F9" s="28" t="s">
        <v>121</v>
      </c>
    </row>
    <row r="10" spans="5:6" ht="15">
      <c r="E10" s="10" t="s">
        <v>36</v>
      </c>
      <c r="F10" s="28" t="s">
        <v>122</v>
      </c>
    </row>
    <row r="11" spans="5:6" ht="15">
      <c r="E11" s="10" t="s">
        <v>37</v>
      </c>
      <c r="F11" s="28" t="s">
        <v>123</v>
      </c>
    </row>
    <row r="12" spans="5:6" ht="15">
      <c r="E12" s="10" t="s">
        <v>37</v>
      </c>
      <c r="F12" s="28" t="s">
        <v>121</v>
      </c>
    </row>
    <row r="13" spans="5:6" ht="15">
      <c r="E13" s="10" t="s">
        <v>38</v>
      </c>
      <c r="F13" s="28" t="s">
        <v>124</v>
      </c>
    </row>
    <row r="14" ht="15">
      <c r="E14" s="10"/>
    </row>
    <row r="16" spans="1:2" ht="18">
      <c r="A16" s="11" t="s">
        <v>39</v>
      </c>
      <c r="B16" s="11"/>
    </row>
    <row r="17" spans="1:5" s="3" customFormat="1" ht="15">
      <c r="A17" s="12" t="s">
        <v>40</v>
      </c>
      <c r="B17" s="12"/>
      <c r="C17" s="4"/>
      <c r="D17" s="4"/>
      <c r="E17" s="4"/>
    </row>
    <row r="18" spans="1:5" s="3" customFormat="1" ht="14.25">
      <c r="A18" s="14"/>
      <c r="B18" s="15" t="s">
        <v>116</v>
      </c>
      <c r="C18" s="4"/>
      <c r="D18" s="4"/>
      <c r="E18" s="4"/>
    </row>
    <row r="19" spans="1:5" s="3" customFormat="1" ht="15">
      <c r="A19" s="16" t="s">
        <v>42</v>
      </c>
      <c r="B19" s="16" t="s">
        <v>43</v>
      </c>
      <c r="C19" s="16" t="s">
        <v>44</v>
      </c>
      <c r="D19" s="16" t="s">
        <v>45</v>
      </c>
      <c r="E19" s="16" t="s">
        <v>128</v>
      </c>
    </row>
    <row r="20" spans="1:5" s="3" customFormat="1" ht="12.75">
      <c r="A20" s="13" t="s">
        <v>108</v>
      </c>
      <c r="B20" s="4" t="s">
        <v>117</v>
      </c>
      <c r="C20" s="4" t="s">
        <v>47</v>
      </c>
      <c r="D20" s="4" t="s">
        <v>138</v>
      </c>
      <c r="E20" s="17" t="s">
        <v>137</v>
      </c>
    </row>
  </sheetData>
  <sheetProtection/>
  <mergeCells count="12">
    <mergeCell ref="F3:F4"/>
    <mergeCell ref="G3:J3"/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6.8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6" t="s">
        <v>156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11</v>
      </c>
      <c r="D3" s="43" t="s">
        <v>135</v>
      </c>
      <c r="E3" s="43" t="s">
        <v>7</v>
      </c>
      <c r="F3" s="43" t="s">
        <v>12</v>
      </c>
      <c r="G3" s="43" t="s">
        <v>155</v>
      </c>
      <c r="H3" s="43"/>
      <c r="I3" s="43"/>
      <c r="J3" s="43"/>
      <c r="K3" s="43" t="s">
        <v>133</v>
      </c>
      <c r="L3" s="43" t="s">
        <v>6</v>
      </c>
      <c r="M3" s="31" t="s">
        <v>5</v>
      </c>
    </row>
    <row r="4" spans="1:13" s="1" customFormat="1" ht="21" customHeight="1" thickBot="1">
      <c r="A4" s="40"/>
      <c r="B4" s="42"/>
      <c r="C4" s="42"/>
      <c r="D4" s="42"/>
      <c r="E4" s="42"/>
      <c r="F4" s="42"/>
      <c r="G4" s="27">
        <v>1</v>
      </c>
      <c r="H4" s="27">
        <v>2</v>
      </c>
      <c r="I4" s="27">
        <v>3</v>
      </c>
      <c r="J4" s="27" t="s">
        <v>8</v>
      </c>
      <c r="K4" s="42"/>
      <c r="L4" s="42"/>
      <c r="M4" s="32"/>
    </row>
    <row r="5" spans="1:12" ht="15">
      <c r="A5" s="44" t="s">
        <v>154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3" ht="12.75">
      <c r="A6" s="8" t="s">
        <v>153</v>
      </c>
      <c r="B6" s="8" t="s">
        <v>152</v>
      </c>
      <c r="C6" s="8" t="s">
        <v>151</v>
      </c>
      <c r="D6" s="8" t="str">
        <f>"0,5053"</f>
        <v>0,5053</v>
      </c>
      <c r="E6" s="8" t="s">
        <v>150</v>
      </c>
      <c r="F6" s="8" t="s">
        <v>149</v>
      </c>
      <c r="G6" s="9" t="s">
        <v>148</v>
      </c>
      <c r="H6" s="9" t="s">
        <v>143</v>
      </c>
      <c r="I6" s="49" t="s">
        <v>147</v>
      </c>
      <c r="J6" s="49"/>
      <c r="K6" s="8" t="str">
        <f>"280,0"</f>
        <v>280,0</v>
      </c>
      <c r="L6" s="9" t="str">
        <f>"141,8972"</f>
        <v>141,8972</v>
      </c>
      <c r="M6" s="8" t="s">
        <v>93</v>
      </c>
    </row>
    <row r="8" spans="5:6" ht="15">
      <c r="E8" s="10" t="s">
        <v>34</v>
      </c>
      <c r="F8" s="28" t="s">
        <v>120</v>
      </c>
    </row>
    <row r="9" spans="5:6" ht="15">
      <c r="E9" s="10" t="s">
        <v>35</v>
      </c>
      <c r="F9" s="28" t="s">
        <v>121</v>
      </c>
    </row>
    <row r="10" spans="5:6" ht="15">
      <c r="E10" s="10" t="s">
        <v>36</v>
      </c>
      <c r="F10" s="28" t="s">
        <v>122</v>
      </c>
    </row>
    <row r="11" spans="5:6" ht="15">
      <c r="E11" s="10" t="s">
        <v>37</v>
      </c>
      <c r="F11" s="28" t="s">
        <v>120</v>
      </c>
    </row>
    <row r="12" spans="5:6" ht="15">
      <c r="E12" s="10" t="s">
        <v>37</v>
      </c>
      <c r="F12" s="28" t="s">
        <v>123</v>
      </c>
    </row>
    <row r="13" spans="5:6" ht="15">
      <c r="E13" s="10" t="s">
        <v>38</v>
      </c>
      <c r="F13" s="28" t="s">
        <v>124</v>
      </c>
    </row>
    <row r="14" ht="15">
      <c r="E14" s="10"/>
    </row>
    <row r="16" spans="1:2" ht="18">
      <c r="A16" s="11" t="s">
        <v>39</v>
      </c>
      <c r="B16" s="11"/>
    </row>
    <row r="17" spans="1:5" s="3" customFormat="1" ht="15">
      <c r="A17" s="12" t="s">
        <v>40</v>
      </c>
      <c r="B17" s="12"/>
      <c r="C17" s="4"/>
      <c r="D17" s="4"/>
      <c r="E17" s="4"/>
    </row>
    <row r="18" spans="1:5" s="3" customFormat="1" ht="14.25">
      <c r="A18" s="14"/>
      <c r="B18" s="15" t="s">
        <v>116</v>
      </c>
      <c r="C18" s="4"/>
      <c r="D18" s="4"/>
      <c r="E18" s="4"/>
    </row>
    <row r="19" spans="1:5" s="3" customFormat="1" ht="15">
      <c r="A19" s="16" t="s">
        <v>42</v>
      </c>
      <c r="B19" s="16" t="s">
        <v>43</v>
      </c>
      <c r="C19" s="16" t="s">
        <v>44</v>
      </c>
      <c r="D19" s="16" t="s">
        <v>45</v>
      </c>
      <c r="E19" s="16" t="s">
        <v>128</v>
      </c>
    </row>
    <row r="20" spans="1:5" s="3" customFormat="1" ht="12.75">
      <c r="A20" s="13" t="s">
        <v>146</v>
      </c>
      <c r="B20" s="4" t="s">
        <v>145</v>
      </c>
      <c r="C20" s="4" t="s">
        <v>144</v>
      </c>
      <c r="D20" s="4" t="s">
        <v>143</v>
      </c>
      <c r="E20" s="17" t="s">
        <v>142</v>
      </c>
    </row>
  </sheetData>
  <sheetProtection/>
  <mergeCells count="12">
    <mergeCell ref="F3:F4"/>
    <mergeCell ref="G3:J3"/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3">
      <selection activeCell="F46" sqref="F46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4.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22.375" style="4" bestFit="1" customWidth="1"/>
    <col min="14" max="16384" width="9.125" style="3" customWidth="1"/>
  </cols>
  <sheetData>
    <row r="1" spans="1:13" s="2" customFormat="1" ht="28.5" customHeight="1">
      <c r="A1" s="46" t="s">
        <v>228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11</v>
      </c>
      <c r="D3" s="43" t="s">
        <v>135</v>
      </c>
      <c r="E3" s="43" t="s">
        <v>7</v>
      </c>
      <c r="F3" s="43" t="s">
        <v>12</v>
      </c>
      <c r="G3" s="43" t="s">
        <v>155</v>
      </c>
      <c r="H3" s="43"/>
      <c r="I3" s="43"/>
      <c r="J3" s="43"/>
      <c r="K3" s="43" t="s">
        <v>133</v>
      </c>
      <c r="L3" s="43" t="s">
        <v>6</v>
      </c>
      <c r="M3" s="31" t="s">
        <v>5</v>
      </c>
    </row>
    <row r="4" spans="1:13" s="1" customFormat="1" ht="21" customHeight="1" thickBot="1">
      <c r="A4" s="40"/>
      <c r="B4" s="42"/>
      <c r="C4" s="42"/>
      <c r="D4" s="42"/>
      <c r="E4" s="42"/>
      <c r="F4" s="42"/>
      <c r="G4" s="27">
        <v>1</v>
      </c>
      <c r="H4" s="27">
        <v>2</v>
      </c>
      <c r="I4" s="27">
        <v>3</v>
      </c>
      <c r="J4" s="27" t="s">
        <v>8</v>
      </c>
      <c r="K4" s="42"/>
      <c r="L4" s="42"/>
      <c r="M4" s="32"/>
    </row>
    <row r="5" spans="1:12" ht="15">
      <c r="A5" s="44" t="s">
        <v>57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3" ht="12.75">
      <c r="A6" s="8" t="s">
        <v>132</v>
      </c>
      <c r="B6" s="8" t="s">
        <v>131</v>
      </c>
      <c r="C6" s="8" t="s">
        <v>130</v>
      </c>
      <c r="D6" s="8" t="str">
        <f>"0,9960"</f>
        <v>0,9960</v>
      </c>
      <c r="E6" s="8" t="s">
        <v>21</v>
      </c>
      <c r="F6" s="8" t="s">
        <v>22</v>
      </c>
      <c r="G6" s="9" t="s">
        <v>227</v>
      </c>
      <c r="H6" s="9" t="s">
        <v>226</v>
      </c>
      <c r="I6" s="9" t="s">
        <v>188</v>
      </c>
      <c r="J6" s="49"/>
      <c r="K6" s="8" t="str">
        <f>"107,5"</f>
        <v>107,5</v>
      </c>
      <c r="L6" s="9" t="str">
        <f>"107,0700"</f>
        <v>107,0700</v>
      </c>
      <c r="M6" s="8" t="s">
        <v>33</v>
      </c>
    </row>
    <row r="8" spans="1:12" ht="15">
      <c r="A8" s="47" t="s">
        <v>225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3" ht="12.75">
      <c r="A9" s="8" t="s">
        <v>224</v>
      </c>
      <c r="B9" s="8" t="s">
        <v>223</v>
      </c>
      <c r="C9" s="8" t="s">
        <v>222</v>
      </c>
      <c r="D9" s="8" t="str">
        <f>"0,8794"</f>
        <v>0,8794</v>
      </c>
      <c r="E9" s="8" t="s">
        <v>221</v>
      </c>
      <c r="F9" s="8" t="s">
        <v>22</v>
      </c>
      <c r="G9" s="9" t="s">
        <v>220</v>
      </c>
      <c r="H9" s="9" t="s">
        <v>219</v>
      </c>
      <c r="I9" s="9" t="s">
        <v>180</v>
      </c>
      <c r="J9" s="49"/>
      <c r="K9" s="8" t="str">
        <f>"125,0"</f>
        <v>125,0</v>
      </c>
      <c r="L9" s="9" t="str">
        <f>"113,3327"</f>
        <v>113,3327</v>
      </c>
      <c r="M9" s="8" t="s">
        <v>33</v>
      </c>
    </row>
    <row r="11" spans="1:12" ht="15">
      <c r="A11" s="47" t="s">
        <v>218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3" ht="12.75">
      <c r="A12" s="8" t="s">
        <v>217</v>
      </c>
      <c r="B12" s="8" t="s">
        <v>216</v>
      </c>
      <c r="C12" s="8" t="s">
        <v>215</v>
      </c>
      <c r="D12" s="8" t="str">
        <f>"0,8090"</f>
        <v>0,8090</v>
      </c>
      <c r="E12" s="8" t="s">
        <v>62</v>
      </c>
      <c r="F12" s="8" t="s">
        <v>22</v>
      </c>
      <c r="G12" s="9" t="s">
        <v>31</v>
      </c>
      <c r="H12" s="9" t="s">
        <v>214</v>
      </c>
      <c r="I12" s="9" t="s">
        <v>184</v>
      </c>
      <c r="J12" s="49"/>
      <c r="K12" s="8" t="str">
        <f>"110,0"</f>
        <v>110,0</v>
      </c>
      <c r="L12" s="9" t="str">
        <f>"88,9845"</f>
        <v>88,9845</v>
      </c>
      <c r="M12" s="8" t="s">
        <v>65</v>
      </c>
    </row>
    <row r="14" spans="1:12" ht="15">
      <c r="A14" s="47" t="s">
        <v>57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13" ht="12.75">
      <c r="A15" s="8" t="s">
        <v>213</v>
      </c>
      <c r="B15" s="8" t="s">
        <v>212</v>
      </c>
      <c r="C15" s="8" t="s">
        <v>211</v>
      </c>
      <c r="D15" s="8" t="str">
        <f>"1,0686"</f>
        <v>1,0686</v>
      </c>
      <c r="E15" s="8" t="s">
        <v>90</v>
      </c>
      <c r="F15" s="8" t="s">
        <v>210</v>
      </c>
      <c r="G15" s="9" t="s">
        <v>209</v>
      </c>
      <c r="H15" s="9" t="s">
        <v>208</v>
      </c>
      <c r="I15" s="9" t="s">
        <v>129</v>
      </c>
      <c r="J15" s="49"/>
      <c r="K15" s="8" t="str">
        <f>"70,0"</f>
        <v>70,0</v>
      </c>
      <c r="L15" s="9" t="str">
        <f>"88,2664"</f>
        <v>88,2664</v>
      </c>
      <c r="M15" s="8" t="s">
        <v>207</v>
      </c>
    </row>
    <row r="17" spans="1:12" ht="15">
      <c r="A17" s="47" t="s">
        <v>80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18" spans="1:13" ht="12.75">
      <c r="A18" s="21" t="s">
        <v>82</v>
      </c>
      <c r="B18" s="21" t="s">
        <v>83</v>
      </c>
      <c r="C18" s="21" t="s">
        <v>84</v>
      </c>
      <c r="D18" s="21" t="str">
        <f>"0,6955"</f>
        <v>0,6955</v>
      </c>
      <c r="E18" s="21" t="s">
        <v>21</v>
      </c>
      <c r="F18" s="21" t="s">
        <v>22</v>
      </c>
      <c r="G18" s="22" t="s">
        <v>206</v>
      </c>
      <c r="H18" s="22" t="s">
        <v>170</v>
      </c>
      <c r="I18" s="51" t="s">
        <v>205</v>
      </c>
      <c r="J18" s="51"/>
      <c r="K18" s="21" t="str">
        <f>"205,0"</f>
        <v>205,0</v>
      </c>
      <c r="L18" s="22" t="str">
        <f>"142,5832"</f>
        <v>142,5832</v>
      </c>
      <c r="M18" s="21" t="s">
        <v>33</v>
      </c>
    </row>
    <row r="19" spans="1:13" ht="12.75">
      <c r="A19" s="23" t="s">
        <v>204</v>
      </c>
      <c r="B19" s="23" t="s">
        <v>203</v>
      </c>
      <c r="C19" s="23" t="s">
        <v>202</v>
      </c>
      <c r="D19" s="23" t="str">
        <f>"0,6659"</f>
        <v>0,6659</v>
      </c>
      <c r="E19" s="23" t="s">
        <v>21</v>
      </c>
      <c r="F19" s="23" t="s">
        <v>22</v>
      </c>
      <c r="G19" s="24" t="s">
        <v>201</v>
      </c>
      <c r="H19" s="50" t="s">
        <v>167</v>
      </c>
      <c r="I19" s="24" t="s">
        <v>167</v>
      </c>
      <c r="J19" s="50"/>
      <c r="K19" s="23" t="str">
        <f>"170,0"</f>
        <v>170,0</v>
      </c>
      <c r="L19" s="24" t="str">
        <f>"113,2030"</f>
        <v>113,2030</v>
      </c>
      <c r="M19" s="23" t="s">
        <v>33</v>
      </c>
    </row>
    <row r="21" spans="1:12" ht="15">
      <c r="A21" s="47" t="s">
        <v>16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2" spans="1:13" ht="12.75">
      <c r="A22" s="8" t="s">
        <v>200</v>
      </c>
      <c r="B22" s="8" t="s">
        <v>199</v>
      </c>
      <c r="C22" s="8" t="s">
        <v>198</v>
      </c>
      <c r="D22" s="8" t="str">
        <f>"0,6318"</f>
        <v>0,6318</v>
      </c>
      <c r="E22" s="8" t="s">
        <v>90</v>
      </c>
      <c r="F22" s="8" t="s">
        <v>22</v>
      </c>
      <c r="G22" s="49" t="s">
        <v>184</v>
      </c>
      <c r="H22" s="9" t="s">
        <v>184</v>
      </c>
      <c r="I22" s="9" t="s">
        <v>163</v>
      </c>
      <c r="J22" s="49"/>
      <c r="K22" s="8" t="str">
        <f>"117,5"</f>
        <v>117,5</v>
      </c>
      <c r="L22" s="9" t="str">
        <f>"150,7001"</f>
        <v>150,7001</v>
      </c>
      <c r="M22" s="8" t="s">
        <v>93</v>
      </c>
    </row>
    <row r="24" spans="1:12" ht="15">
      <c r="A24" s="47" t="s">
        <v>197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3" ht="12.75">
      <c r="A25" s="8" t="s">
        <v>196</v>
      </c>
      <c r="B25" s="8" t="s">
        <v>195</v>
      </c>
      <c r="C25" s="8" t="s">
        <v>194</v>
      </c>
      <c r="D25" s="8" t="str">
        <f>"0,5247"</f>
        <v>0,5247</v>
      </c>
      <c r="E25" s="8" t="s">
        <v>62</v>
      </c>
      <c r="F25" s="8" t="s">
        <v>22</v>
      </c>
      <c r="G25" s="9" t="s">
        <v>175</v>
      </c>
      <c r="H25" s="9" t="s">
        <v>148</v>
      </c>
      <c r="I25" s="9" t="s">
        <v>158</v>
      </c>
      <c r="J25" s="49"/>
      <c r="K25" s="8" t="str">
        <f>"255,0"</f>
        <v>255,0</v>
      </c>
      <c r="L25" s="9" t="str">
        <f>"143,0306"</f>
        <v>143,0306</v>
      </c>
      <c r="M25" s="8" t="s">
        <v>193</v>
      </c>
    </row>
    <row r="27" spans="1:12" ht="15">
      <c r="A27" s="47" t="s">
        <v>154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</row>
    <row r="28" spans="1:13" ht="12.75">
      <c r="A28" s="8" t="s">
        <v>192</v>
      </c>
      <c r="B28" s="8" t="s">
        <v>191</v>
      </c>
      <c r="C28" s="8" t="s">
        <v>190</v>
      </c>
      <c r="D28" s="8" t="str">
        <f>"0,5131"</f>
        <v>0,5131</v>
      </c>
      <c r="E28" s="8" t="s">
        <v>62</v>
      </c>
      <c r="F28" s="8" t="s">
        <v>22</v>
      </c>
      <c r="G28" s="9" t="s">
        <v>189</v>
      </c>
      <c r="H28" s="9" t="s">
        <v>175</v>
      </c>
      <c r="I28" s="49"/>
      <c r="J28" s="49"/>
      <c r="K28" s="8" t="str">
        <f>"225,0"</f>
        <v>225,0</v>
      </c>
      <c r="L28" s="9" t="str">
        <f>"122,3696"</f>
        <v>122,3696</v>
      </c>
      <c r="M28" s="8" t="s">
        <v>65</v>
      </c>
    </row>
    <row r="30" spans="5:6" ht="15">
      <c r="E30" s="10" t="s">
        <v>34</v>
      </c>
      <c r="F30" s="28" t="s">
        <v>120</v>
      </c>
    </row>
    <row r="31" spans="5:6" ht="15">
      <c r="E31" s="10" t="s">
        <v>35</v>
      </c>
      <c r="F31" s="28" t="s">
        <v>121</v>
      </c>
    </row>
    <row r="32" spans="5:6" ht="15">
      <c r="E32" s="10" t="s">
        <v>36</v>
      </c>
      <c r="F32" s="28" t="s">
        <v>122</v>
      </c>
    </row>
    <row r="33" spans="1:6" s="3" customFormat="1" ht="15">
      <c r="A33" s="4"/>
      <c r="B33" s="4"/>
      <c r="C33" s="4"/>
      <c r="D33" s="4"/>
      <c r="E33" s="10" t="s">
        <v>37</v>
      </c>
      <c r="F33" s="28" t="s">
        <v>120</v>
      </c>
    </row>
    <row r="34" spans="1:6" s="3" customFormat="1" ht="15">
      <c r="A34" s="4"/>
      <c r="B34" s="4"/>
      <c r="C34" s="4"/>
      <c r="D34" s="4"/>
      <c r="E34" s="10" t="s">
        <v>37</v>
      </c>
      <c r="F34" s="28" t="s">
        <v>123</v>
      </c>
    </row>
    <row r="35" spans="1:6" s="3" customFormat="1" ht="15">
      <c r="A35" s="4"/>
      <c r="B35" s="4"/>
      <c r="C35" s="4"/>
      <c r="D35" s="4"/>
      <c r="E35" s="10" t="s">
        <v>38</v>
      </c>
      <c r="F35" s="28" t="s">
        <v>124</v>
      </c>
    </row>
    <row r="36" spans="1:6" s="3" customFormat="1" ht="15">
      <c r="A36" s="4"/>
      <c r="B36" s="4"/>
      <c r="C36" s="4"/>
      <c r="D36" s="4"/>
      <c r="E36" s="10"/>
      <c r="F36" s="4"/>
    </row>
    <row r="38" spans="1:6" s="3" customFormat="1" ht="18">
      <c r="A38" s="11" t="s">
        <v>39</v>
      </c>
      <c r="B38" s="11"/>
      <c r="C38" s="4"/>
      <c r="D38" s="4"/>
      <c r="E38" s="4"/>
      <c r="F38" s="4"/>
    </row>
    <row r="39" spans="1:6" s="3" customFormat="1" ht="15">
      <c r="A39" s="12" t="s">
        <v>72</v>
      </c>
      <c r="B39" s="12"/>
      <c r="C39" s="4"/>
      <c r="D39" s="4"/>
      <c r="E39" s="4"/>
      <c r="F39" s="4"/>
    </row>
    <row r="40" spans="1:6" s="3" customFormat="1" ht="14.25">
      <c r="A40" s="14"/>
      <c r="B40" s="15" t="s">
        <v>41</v>
      </c>
      <c r="C40" s="4"/>
      <c r="D40" s="4"/>
      <c r="E40" s="4"/>
      <c r="F40" s="4"/>
    </row>
    <row r="41" spans="1:6" s="3" customFormat="1" ht="15">
      <c r="A41" s="16" t="s">
        <v>42</v>
      </c>
      <c r="B41" s="16" t="s">
        <v>43</v>
      </c>
      <c r="C41" s="16" t="s">
        <v>44</v>
      </c>
      <c r="D41" s="16" t="s">
        <v>45</v>
      </c>
      <c r="E41" s="16" t="s">
        <v>128</v>
      </c>
      <c r="F41" s="4"/>
    </row>
    <row r="42" spans="1:6" s="3" customFormat="1" ht="12.75">
      <c r="A42" s="13" t="s">
        <v>127</v>
      </c>
      <c r="B42" s="4" t="s">
        <v>41</v>
      </c>
      <c r="C42" s="4" t="s">
        <v>73</v>
      </c>
      <c r="D42" s="4" t="s">
        <v>188</v>
      </c>
      <c r="E42" s="17" t="s">
        <v>187</v>
      </c>
      <c r="F42" s="4"/>
    </row>
    <row r="43" spans="1:6" s="3" customFormat="1" ht="12.75">
      <c r="A43" s="13" t="s">
        <v>186</v>
      </c>
      <c r="B43" s="4" t="s">
        <v>41</v>
      </c>
      <c r="C43" s="4" t="s">
        <v>185</v>
      </c>
      <c r="D43" s="4" t="s">
        <v>184</v>
      </c>
      <c r="E43" s="17" t="s">
        <v>183</v>
      </c>
      <c r="F43" s="4"/>
    </row>
    <row r="45" spans="1:6" s="3" customFormat="1" ht="14.25">
      <c r="A45" s="14"/>
      <c r="B45" s="15" t="s">
        <v>116</v>
      </c>
      <c r="C45" s="4"/>
      <c r="D45" s="4"/>
      <c r="E45" s="4"/>
      <c r="F45" s="4"/>
    </row>
    <row r="46" spans="1:6" s="3" customFormat="1" ht="15">
      <c r="A46" s="16" t="s">
        <v>42</v>
      </c>
      <c r="B46" s="16" t="s">
        <v>43</v>
      </c>
      <c r="C46" s="16" t="s">
        <v>44</v>
      </c>
      <c r="D46" s="16" t="s">
        <v>45</v>
      </c>
      <c r="E46" s="16" t="s">
        <v>128</v>
      </c>
      <c r="F46" s="4"/>
    </row>
    <row r="47" spans="1:6" s="3" customFormat="1" ht="12.75">
      <c r="A47" s="13" t="s">
        <v>182</v>
      </c>
      <c r="B47" s="4" t="s">
        <v>145</v>
      </c>
      <c r="C47" s="4" t="s">
        <v>181</v>
      </c>
      <c r="D47" s="4" t="s">
        <v>180</v>
      </c>
      <c r="E47" s="17" t="s">
        <v>179</v>
      </c>
      <c r="F47" s="4"/>
    </row>
    <row r="50" spans="1:5" s="3" customFormat="1" ht="15">
      <c r="A50" s="12" t="s">
        <v>40</v>
      </c>
      <c r="B50" s="12"/>
      <c r="C50" s="4"/>
      <c r="D50" s="4"/>
      <c r="E50" s="4"/>
    </row>
    <row r="51" spans="1:5" s="3" customFormat="1" ht="14.25">
      <c r="A51" s="14"/>
      <c r="B51" s="15" t="s">
        <v>178</v>
      </c>
      <c r="C51" s="4"/>
      <c r="D51" s="4"/>
      <c r="E51" s="4"/>
    </row>
    <row r="52" spans="1:5" s="3" customFormat="1" ht="15">
      <c r="A52" s="16" t="s">
        <v>42</v>
      </c>
      <c r="B52" s="16" t="s">
        <v>43</v>
      </c>
      <c r="C52" s="16" t="s">
        <v>44</v>
      </c>
      <c r="D52" s="16" t="s">
        <v>45</v>
      </c>
      <c r="E52" s="16" t="s">
        <v>128</v>
      </c>
    </row>
    <row r="53" spans="1:5" s="3" customFormat="1" ht="12.75">
      <c r="A53" s="13" t="s">
        <v>177</v>
      </c>
      <c r="B53" s="4" t="s">
        <v>176</v>
      </c>
      <c r="C53" s="4" t="s">
        <v>144</v>
      </c>
      <c r="D53" s="4" t="s">
        <v>175</v>
      </c>
      <c r="E53" s="17" t="s">
        <v>174</v>
      </c>
    </row>
    <row r="54" spans="1:5" s="3" customFormat="1" ht="12.75">
      <c r="A54" s="13" t="s">
        <v>173</v>
      </c>
      <c r="B54" s="4" t="s">
        <v>172</v>
      </c>
      <c r="C54" s="4" t="s">
        <v>73</v>
      </c>
      <c r="D54" s="4" t="s">
        <v>129</v>
      </c>
      <c r="E54" s="17" t="s">
        <v>171</v>
      </c>
    </row>
    <row r="56" spans="1:5" s="3" customFormat="1" ht="14.25">
      <c r="A56" s="14"/>
      <c r="B56" s="15" t="s">
        <v>41</v>
      </c>
      <c r="C56" s="4"/>
      <c r="D56" s="4"/>
      <c r="E56" s="4"/>
    </row>
    <row r="57" spans="1:5" s="3" customFormat="1" ht="15">
      <c r="A57" s="16" t="s">
        <v>42</v>
      </c>
      <c r="B57" s="16" t="s">
        <v>43</v>
      </c>
      <c r="C57" s="16" t="s">
        <v>44</v>
      </c>
      <c r="D57" s="16" t="s">
        <v>45</v>
      </c>
      <c r="E57" s="16" t="s">
        <v>128</v>
      </c>
    </row>
    <row r="58" spans="1:5" s="3" customFormat="1" ht="12.75">
      <c r="A58" s="13" t="s">
        <v>81</v>
      </c>
      <c r="B58" s="4" t="s">
        <v>41</v>
      </c>
      <c r="C58" s="4" t="s">
        <v>102</v>
      </c>
      <c r="D58" s="4" t="s">
        <v>170</v>
      </c>
      <c r="E58" s="17" t="s">
        <v>169</v>
      </c>
    </row>
    <row r="59" spans="1:5" s="3" customFormat="1" ht="12.75">
      <c r="A59" s="13" t="s">
        <v>168</v>
      </c>
      <c r="B59" s="4" t="s">
        <v>41</v>
      </c>
      <c r="C59" s="4" t="s">
        <v>102</v>
      </c>
      <c r="D59" s="4" t="s">
        <v>167</v>
      </c>
      <c r="E59" s="17" t="s">
        <v>166</v>
      </c>
    </row>
    <row r="61" spans="1:5" s="3" customFormat="1" ht="14.25">
      <c r="A61" s="14"/>
      <c r="B61" s="15" t="s">
        <v>116</v>
      </c>
      <c r="C61" s="4"/>
      <c r="D61" s="4"/>
      <c r="E61" s="4"/>
    </row>
    <row r="62" spans="1:5" s="3" customFormat="1" ht="15">
      <c r="A62" s="16" t="s">
        <v>42</v>
      </c>
      <c r="B62" s="16" t="s">
        <v>43</v>
      </c>
      <c r="C62" s="16" t="s">
        <v>44</v>
      </c>
      <c r="D62" s="16" t="s">
        <v>45</v>
      </c>
      <c r="E62" s="16" t="s">
        <v>128</v>
      </c>
    </row>
    <row r="63" spans="1:5" s="3" customFormat="1" ht="12.75">
      <c r="A63" s="13" t="s">
        <v>165</v>
      </c>
      <c r="B63" s="4" t="s">
        <v>164</v>
      </c>
      <c r="C63" s="4" t="s">
        <v>50</v>
      </c>
      <c r="D63" s="4" t="s">
        <v>163</v>
      </c>
      <c r="E63" s="17" t="s">
        <v>162</v>
      </c>
    </row>
    <row r="64" spans="1:5" s="3" customFormat="1" ht="12.75">
      <c r="A64" s="13" t="s">
        <v>161</v>
      </c>
      <c r="B64" s="4" t="s">
        <v>160</v>
      </c>
      <c r="C64" s="4" t="s">
        <v>159</v>
      </c>
      <c r="D64" s="4" t="s">
        <v>158</v>
      </c>
      <c r="E64" s="17" t="s">
        <v>157</v>
      </c>
    </row>
  </sheetData>
  <sheetProtection/>
  <mergeCells count="19">
    <mergeCell ref="M3:M4"/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A14:L14"/>
    <mergeCell ref="A17:L17"/>
    <mergeCell ref="A21:L21"/>
    <mergeCell ref="A24:L24"/>
    <mergeCell ref="A27:L27"/>
    <mergeCell ref="A11:L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2015-07-16T19:10:53Z</cp:lastPrinted>
  <dcterms:created xsi:type="dcterms:W3CDTF">2002-06-16T13:36:44Z</dcterms:created>
  <dcterms:modified xsi:type="dcterms:W3CDTF">2019-12-18T07:02:55Z</dcterms:modified>
  <cp:category/>
  <cp:version/>
  <cp:contentType/>
  <cp:contentStatus/>
</cp:coreProperties>
</file>