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185" tabRatio="782" firstSheet="18" activeTab="21"/>
  </bookViews>
  <sheets>
    <sheet name="РТ про 150 кг" sheetId="1" r:id="rId1"/>
    <sheet name="РТ про 100 кг" sheetId="2" r:id="rId2"/>
    <sheet name="РТ люб 100 кг" sheetId="3" r:id="rId3"/>
    <sheet name="РТ люб 55 кг" sheetId="4" r:id="rId4"/>
    <sheet name="РЖ люб 150 кг" sheetId="5" r:id="rId5"/>
    <sheet name="РЖ люб 75 кг" sheetId="6" r:id="rId6"/>
    <sheet name="РЖ люб 55 кг" sheetId="7" r:id="rId7"/>
    <sheet name="Про нар жим 1 вес" sheetId="8" r:id="rId8"/>
    <sheet name="Люб нар жим 0,5 вес" sheetId="9" r:id="rId9"/>
    <sheet name="Люб нар жим 1 вес" sheetId="10" r:id="rId10"/>
    <sheet name="Биц Про" sheetId="11" r:id="rId11"/>
    <sheet name="Биц Люб" sheetId="12" r:id="rId12"/>
    <sheet name="Двоеб про" sheetId="13" r:id="rId13"/>
    <sheet name="Двоеб люб" sheetId="14" r:id="rId14"/>
    <sheet name="ПРО тяга б.э." sheetId="15" r:id="rId15"/>
    <sheet name="Люб тяга б.э." sheetId="16" r:id="rId16"/>
    <sheet name="Люб тяга 1.слой" sheetId="17" r:id="rId17"/>
    <sheet name="ПРО жим софт экип. 1 сл." sheetId="18" r:id="rId18"/>
    <sheet name="Люб жим софт экип. 1 сл." sheetId="19" r:id="rId19"/>
    <sheet name="Люб жим софт экип. 2 сл." sheetId="20" r:id="rId20"/>
    <sheet name="ПРО жим б.э." sheetId="21" r:id="rId21"/>
    <sheet name="Люб. жим б.э." sheetId="22" r:id="rId22"/>
    <sheet name="ПРО Воен жим" sheetId="23" r:id="rId23"/>
    <sheet name="Люб Воен жим" sheetId="24" r:id="rId24"/>
  </sheets>
  <definedNames/>
  <calcPr fullCalcOnLoad="1" refMode="R1C1"/>
</workbook>
</file>

<file path=xl/sharedStrings.xml><?xml version="1.0" encoding="utf-8"?>
<sst xmlns="http://schemas.openxmlformats.org/spreadsheetml/2006/main" count="1775" uniqueCount="574">
  <si>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</si>
  <si>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</si>
  <si>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</si>
  <si>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</si>
  <si>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</si>
  <si>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</si>
  <si>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</si>
  <si>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</si>
  <si>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</si>
  <si>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THE LAST MAN STANDING
Любители военный жим
Ростов-на-Дону/Ростовская область июля 2019 г.</t>
  </si>
  <si>
    <t>Shv/Mel</t>
  </si>
  <si>
    <t>Жим лёжа</t>
  </si>
  <si>
    <t>ВЕСОВАЯ КАТЕГОРИЯ   82.5</t>
  </si>
  <si>
    <t>1. Костыгова Елена</t>
  </si>
  <si>
    <t>Открытая (18.06.1980)/39</t>
  </si>
  <si>
    <t>79,00</t>
  </si>
  <si>
    <t xml:space="preserve">лично </t>
  </si>
  <si>
    <t xml:space="preserve">Ростов-на-Дону/Ростовская область </t>
  </si>
  <si>
    <t>60,0</t>
  </si>
  <si>
    <t>67,5</t>
  </si>
  <si>
    <t xml:space="preserve">Перепелица В. </t>
  </si>
  <si>
    <t>ВЕСОВАЯ КАТЕГОРИЯ   90</t>
  </si>
  <si>
    <t>Поздняков Артем</t>
  </si>
  <si>
    <t>1. Поздняков Артем</t>
  </si>
  <si>
    <t>Открытая (09.04.1990)/29</t>
  </si>
  <si>
    <t>84,90</t>
  </si>
  <si>
    <t xml:space="preserve">ВДВ Шахты </t>
  </si>
  <si>
    <t xml:space="preserve">Шахты/Ростовская область </t>
  </si>
  <si>
    <t>120,0</t>
  </si>
  <si>
    <t>125,0</t>
  </si>
  <si>
    <t>127,5</t>
  </si>
  <si>
    <t xml:space="preserve">Ичетовкин С. </t>
  </si>
  <si>
    <t>ВЕСОВАЯ КАТЕГОРИЯ   100</t>
  </si>
  <si>
    <t>Хорошаев Денис</t>
  </si>
  <si>
    <t>1. Хорошаев Денис</t>
  </si>
  <si>
    <t>Открытая (28.11.1984)/34</t>
  </si>
  <si>
    <t>97,50</t>
  </si>
  <si>
    <t>132,5</t>
  </si>
  <si>
    <t>ВЕСОВАЯ КАТЕГОРИЯ   110</t>
  </si>
  <si>
    <t>Дьячков Руслан</t>
  </si>
  <si>
    <t>1. Дьячков Руслан</t>
  </si>
  <si>
    <t>Открытая (01.05.1994)/25</t>
  </si>
  <si>
    <t>108,80</t>
  </si>
  <si>
    <t>135,0</t>
  </si>
  <si>
    <t>ВЕСОВАЯ КАТЕГОРИЯ   125</t>
  </si>
  <si>
    <t>Арслангереев Джапар</t>
  </si>
  <si>
    <t>1. Арслангереев Джапар</t>
  </si>
  <si>
    <t>Открытая (31.08.1986)/32</t>
  </si>
  <si>
    <t>119,00</t>
  </si>
  <si>
    <t xml:space="preserve">PREDATORS </t>
  </si>
  <si>
    <t>170,0</t>
  </si>
  <si>
    <t>175,0</t>
  </si>
  <si>
    <t>180,0</t>
  </si>
  <si>
    <t xml:space="preserve">Самостоятельно 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</si>
  <si>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</si>
  <si>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</si>
  <si>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</si>
  <si>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</si>
  <si>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</si>
  <si>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</si>
  <si>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</si>
  <si>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</si>
  <si>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</si>
  <si>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</si>
  <si>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</si>
  <si>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82.5</t>
  </si>
  <si>
    <t xml:space="preserve">Мужчины </t>
  </si>
  <si>
    <t>125</t>
  </si>
  <si>
    <t>95,0220</t>
  </si>
  <si>
    <t>90</t>
  </si>
  <si>
    <t>77,4435</t>
  </si>
  <si>
    <t>100</t>
  </si>
  <si>
    <t>70,0625</t>
  </si>
  <si>
    <t>110</t>
  </si>
  <si>
    <t>64,5600</t>
  </si>
  <si>
    <t>Результат</t>
  </si>
  <si>
    <t>THE LAST MAN STANDING
ПРО военный жим
Ростов-на-Дону/Ростовская область июля 2019 г.</t>
  </si>
  <si>
    <t>Ичетовкин Сергей</t>
  </si>
  <si>
    <t>1. Ичетовкин Сергей</t>
  </si>
  <si>
    <t>Открытая (10.09.1980)/38</t>
  </si>
  <si>
    <t>102,70</t>
  </si>
  <si>
    <t>140,0</t>
  </si>
  <si>
    <t>145,0</t>
  </si>
  <si>
    <t>150,0</t>
  </si>
  <si>
    <t>THE LAST MAN STANDING
Любители жим лежа без экипировки
Ростов-на-Дону/Ростовская область июля 2019 г.</t>
  </si>
  <si>
    <t>ВЕСОВАЯ КАТЕГОРИЯ   52</t>
  </si>
  <si>
    <t>1. Мелконянц Юлия</t>
  </si>
  <si>
    <t>Открытая (17.03.1990)/29</t>
  </si>
  <si>
    <t>51,90</t>
  </si>
  <si>
    <t xml:space="preserve">dmitry_epishko_team </t>
  </si>
  <si>
    <t xml:space="preserve">Сочи/Краснодарский край </t>
  </si>
  <si>
    <t>57,5</t>
  </si>
  <si>
    <t>62,5</t>
  </si>
  <si>
    <t xml:space="preserve">Епишко Д. </t>
  </si>
  <si>
    <t>2. Сидоренко Елена</t>
  </si>
  <si>
    <t>Открытая (06.05.1995)/24</t>
  </si>
  <si>
    <t>51,00</t>
  </si>
  <si>
    <t xml:space="preserve">СК Ахиллес </t>
  </si>
  <si>
    <t xml:space="preserve">Зверево/Ростовская область </t>
  </si>
  <si>
    <t>45,0</t>
  </si>
  <si>
    <t>50,0</t>
  </si>
  <si>
    <t xml:space="preserve">Ляпичев Е. </t>
  </si>
  <si>
    <t>ВЕСОВАЯ КАТЕГОРИЯ   75</t>
  </si>
  <si>
    <t>Цысь Александр</t>
  </si>
  <si>
    <t>1. Цысь Александр</t>
  </si>
  <si>
    <t>Юниоры 20 - 23 (28.05.1997)/22</t>
  </si>
  <si>
    <t>71,80</t>
  </si>
  <si>
    <t xml:space="preserve">ДГТУ </t>
  </si>
  <si>
    <t xml:space="preserve">Донецк/Ростовская область </t>
  </si>
  <si>
    <t>115,0</t>
  </si>
  <si>
    <t xml:space="preserve">Изюмов А. </t>
  </si>
  <si>
    <t>Исаев Максим</t>
  </si>
  <si>
    <t>1. Исаев Максим</t>
  </si>
  <si>
    <t>Открытая (09.05.1991)/28</t>
  </si>
  <si>
    <t>73,50</t>
  </si>
  <si>
    <t>137,5</t>
  </si>
  <si>
    <t xml:space="preserve">Осипов К.П. </t>
  </si>
  <si>
    <t>2. Цысь Александр</t>
  </si>
  <si>
    <t>Открытая (28.05.1997)/22</t>
  </si>
  <si>
    <t>Кобоснян Вадим</t>
  </si>
  <si>
    <t>3. Кобоснян Вадим</t>
  </si>
  <si>
    <t>Открытая (19.12.1984)/34</t>
  </si>
  <si>
    <t>74,85</t>
  </si>
  <si>
    <t xml:space="preserve">Black Team </t>
  </si>
  <si>
    <t>110,0</t>
  </si>
  <si>
    <t>-. Самойличенко Виталий</t>
  </si>
  <si>
    <t>Мастера 40 - 44 (04.05.1975)/44</t>
  </si>
  <si>
    <t>74,50</t>
  </si>
  <si>
    <t>160,0</t>
  </si>
  <si>
    <t xml:space="preserve">Миколаенко С. </t>
  </si>
  <si>
    <t>1. Вотченко Александр</t>
  </si>
  <si>
    <t>Юниоры 20 - 23 (09.01.1996)/23</t>
  </si>
  <si>
    <t>78,95</t>
  </si>
  <si>
    <t xml:space="preserve">Кущёвская/Краснодарский край </t>
  </si>
  <si>
    <t>142,5</t>
  </si>
  <si>
    <t>1. Андрюхин Денис</t>
  </si>
  <si>
    <t>Юноши 18 - 19 (16.10.2000)/18</t>
  </si>
  <si>
    <t>83,40</t>
  </si>
  <si>
    <t xml:space="preserve">RHINODON </t>
  </si>
  <si>
    <t>117,5</t>
  </si>
  <si>
    <t xml:space="preserve">Кобилинский Д. </t>
  </si>
  <si>
    <t>Давыдов Денис</t>
  </si>
  <si>
    <t>1. Давыдов Денис</t>
  </si>
  <si>
    <t>Открытая (27.07.1983)/35</t>
  </si>
  <si>
    <t>87,80</t>
  </si>
  <si>
    <t>167,5</t>
  </si>
  <si>
    <t>172,5</t>
  </si>
  <si>
    <t>Борисов Дмитрий</t>
  </si>
  <si>
    <t>2. Борисов Дмитрий</t>
  </si>
  <si>
    <t>Открытая (22.05.1982)/37</t>
  </si>
  <si>
    <t>89,40</t>
  </si>
  <si>
    <t>Морозов Артем</t>
  </si>
  <si>
    <t>3. Морозов Артем</t>
  </si>
  <si>
    <t>Открытая (03.04.1992)/27</t>
  </si>
  <si>
    <t>87,60</t>
  </si>
  <si>
    <t xml:space="preserve">Миллерово/Ростовская область </t>
  </si>
  <si>
    <t>155,0</t>
  </si>
  <si>
    <t>130,0</t>
  </si>
  <si>
    <t>-. Красноштан Роман</t>
  </si>
  <si>
    <t>Открытая (02.04.1989)/30</t>
  </si>
  <si>
    <t>107,85</t>
  </si>
  <si>
    <t xml:space="preserve">Варданян Д. </t>
  </si>
  <si>
    <t>ВЕСОВАЯ КАТЕГОРИЯ   140</t>
  </si>
  <si>
    <t>Гомелаури Петр</t>
  </si>
  <si>
    <t>1. Гомелаури Петр</t>
  </si>
  <si>
    <t>Открытая (27.02.1992)/27</t>
  </si>
  <si>
    <t>134,40</t>
  </si>
  <si>
    <t>185,0</t>
  </si>
  <si>
    <t xml:space="preserve">Дрижика Р. </t>
  </si>
  <si>
    <t>75</t>
  </si>
  <si>
    <t>102,5167</t>
  </si>
  <si>
    <t>98,4398</t>
  </si>
  <si>
    <t>95,2320</t>
  </si>
  <si>
    <t>140</t>
  </si>
  <si>
    <t>94,2982</t>
  </si>
  <si>
    <t>89,4640</t>
  </si>
  <si>
    <t>82,5840</t>
  </si>
  <si>
    <t>73,2105</t>
  </si>
  <si>
    <t>72,8650</t>
  </si>
  <si>
    <t>THE LAST MAN STANDING
ПРО жим лежа без экипировки
Ростов-на-Дону/Ростовская область июля 2019 г.</t>
  </si>
  <si>
    <t>Гамзабеков Саид</t>
  </si>
  <si>
    <t>1. Гамзабеков Саид</t>
  </si>
  <si>
    <t>Открытая (15.10.1991)/27</t>
  </si>
  <si>
    <t>109,90</t>
  </si>
  <si>
    <t>220,0</t>
  </si>
  <si>
    <t>230,0</t>
  </si>
  <si>
    <t>235,0</t>
  </si>
  <si>
    <t>Зикин Богдан</t>
  </si>
  <si>
    <t>2. Зикин Богдан</t>
  </si>
  <si>
    <t>Открытая (13.02.1981)/38</t>
  </si>
  <si>
    <t>106,25</t>
  </si>
  <si>
    <t xml:space="preserve">Донецк/ </t>
  </si>
  <si>
    <t>200,0</t>
  </si>
  <si>
    <t>205,0</t>
  </si>
  <si>
    <t>210,0</t>
  </si>
  <si>
    <t>3. Ичетовкин Сергей</t>
  </si>
  <si>
    <t>102,65</t>
  </si>
  <si>
    <t>190,0</t>
  </si>
  <si>
    <t>197,5</t>
  </si>
  <si>
    <t>Тараненко Иван</t>
  </si>
  <si>
    <t>4. Тараненко Иван</t>
  </si>
  <si>
    <t>Открытая (24.05.1986)/33</t>
  </si>
  <si>
    <t>103,00</t>
  </si>
  <si>
    <t>192,5</t>
  </si>
  <si>
    <t>1. Кушнарев Дмитрий</t>
  </si>
  <si>
    <t>Мастера 40 - 44 (29.07.1976)/42</t>
  </si>
  <si>
    <t>104,70</t>
  </si>
  <si>
    <t>123,4180</t>
  </si>
  <si>
    <t>113,7465</t>
  </si>
  <si>
    <t>108,2695</t>
  </si>
  <si>
    <t>105,3938</t>
  </si>
  <si>
    <t>THE LAST MAN STANDING
Любители жим лежа в 2 слойной софт экипировке
Ростов-на-Дону/Ростовская область июля 2019 г.</t>
  </si>
  <si>
    <t>Гарматин Виктор</t>
  </si>
  <si>
    <t>1. Гарматин Виктор</t>
  </si>
  <si>
    <t>Открытая (27.08.1983)/35</t>
  </si>
  <si>
    <t>81,85</t>
  </si>
  <si>
    <t xml:space="preserve">Волоты </t>
  </si>
  <si>
    <t xml:space="preserve">Новочеркасск/Ростовская область </t>
  </si>
  <si>
    <t xml:space="preserve">Бочкова Е. </t>
  </si>
  <si>
    <t>Деркач Николай</t>
  </si>
  <si>
    <t>Открытая (05.10.1991)/27</t>
  </si>
  <si>
    <t>79,25</t>
  </si>
  <si>
    <t xml:space="preserve">TEXAS </t>
  </si>
  <si>
    <t>152,5</t>
  </si>
  <si>
    <t>165,0</t>
  </si>
  <si>
    <t>Омельченко Александр</t>
  </si>
  <si>
    <t>1. Омельченко Александр</t>
  </si>
  <si>
    <t>Открытая (06.07.1986)/33</t>
  </si>
  <si>
    <t>87,70</t>
  </si>
  <si>
    <t>Щеколкин Антон</t>
  </si>
  <si>
    <t>1. Щеколкин Антон</t>
  </si>
  <si>
    <t>Открытая (26.05.1995)/24</t>
  </si>
  <si>
    <t>99,50</t>
  </si>
  <si>
    <t>245,0</t>
  </si>
  <si>
    <t>Рябов Кирилл</t>
  </si>
  <si>
    <t>1. Рябов Кирилл</t>
  </si>
  <si>
    <t>Открытая (27.10.1990)/28</t>
  </si>
  <si>
    <t>107,50</t>
  </si>
  <si>
    <t>215,0</t>
  </si>
  <si>
    <t>Устименко Андрей</t>
  </si>
  <si>
    <t>1. Устименко Андрей</t>
  </si>
  <si>
    <t>Открытая (27.03.1977)/42</t>
  </si>
  <si>
    <t>127,15</t>
  </si>
  <si>
    <t>130,4955</t>
  </si>
  <si>
    <t>124,5400</t>
  </si>
  <si>
    <t>121,9135</t>
  </si>
  <si>
    <t>107,9600</t>
  </si>
  <si>
    <t>105,1545</t>
  </si>
  <si>
    <t>90,7235</t>
  </si>
  <si>
    <t>1. Осауленко Аркадий</t>
  </si>
  <si>
    <t>Открытая (30.04.1987)/32</t>
  </si>
  <si>
    <t>88,75</t>
  </si>
  <si>
    <t>195,0</t>
  </si>
  <si>
    <t>207,5</t>
  </si>
  <si>
    <t>THE LAST MAN STANDING
Любители становая тяга в однослойной экипировке
Ростов-на-Дону/Ростовская область июля 2019 г.</t>
  </si>
  <si>
    <t>Становая тяга</t>
  </si>
  <si>
    <t>Анатолий Квадратов</t>
  </si>
  <si>
    <t>1. Анатолий Квадратов</t>
  </si>
  <si>
    <t>Открытая (05.04.1992)/27</t>
  </si>
  <si>
    <t>84,50</t>
  </si>
  <si>
    <t>260,0</t>
  </si>
  <si>
    <t>Олейник Денис</t>
  </si>
  <si>
    <t>2. Олейник Денис</t>
  </si>
  <si>
    <t>Открытая (03.05.1984)/35</t>
  </si>
  <si>
    <t>89,90</t>
  </si>
  <si>
    <t>225,0</t>
  </si>
  <si>
    <t>240,0</t>
  </si>
  <si>
    <t>252,5</t>
  </si>
  <si>
    <t>158,4180</t>
  </si>
  <si>
    <t>136,2995</t>
  </si>
  <si>
    <t>131,7825</t>
  </si>
  <si>
    <t>THE LAST MAN STANDING
Любители становая тяга без экипировки
Ростов-на-Дону/Ростовская область июля 2019 г.</t>
  </si>
  <si>
    <t>ВЕСОВАЯ КАТЕГОРИЯ   56</t>
  </si>
  <si>
    <t>1. Александрова Светлана</t>
  </si>
  <si>
    <t>Открытая (16.01.1981)/38</t>
  </si>
  <si>
    <t>55,80</t>
  </si>
  <si>
    <t>ВЕСОВАЯ КАТЕГОРИЯ   67.5</t>
  </si>
  <si>
    <t>1. Шангин Евгений</t>
  </si>
  <si>
    <t>Юноши 14-15 (13.12.2003)/15</t>
  </si>
  <si>
    <t>64,00</t>
  </si>
  <si>
    <t>Рулёв Александр</t>
  </si>
  <si>
    <t>1. Рулёв Александр</t>
  </si>
  <si>
    <t>Открытая (13.02.1995)/24</t>
  </si>
  <si>
    <t>73,00</t>
  </si>
  <si>
    <t>Катрецкий Андрей</t>
  </si>
  <si>
    <t>2. Катрецкий Андрей</t>
  </si>
  <si>
    <t>Открытая (25.07.1981)/37</t>
  </si>
  <si>
    <t>74,70</t>
  </si>
  <si>
    <t xml:space="preserve">Кагальницкая/Ростовская обл </t>
  </si>
  <si>
    <t>Хачатрян Роман</t>
  </si>
  <si>
    <t>1. Хачатрян Роман</t>
  </si>
  <si>
    <t>Открытая (26.10.1988)/30</t>
  </si>
  <si>
    <t>79,90</t>
  </si>
  <si>
    <t xml:space="preserve">Черномор Спорт </t>
  </si>
  <si>
    <t>217,5</t>
  </si>
  <si>
    <t xml:space="preserve">Зубов Д. </t>
  </si>
  <si>
    <t>Хоботов Дмтирий</t>
  </si>
  <si>
    <t>1. Хоботов Дмтирий</t>
  </si>
  <si>
    <t>Открытая (10.10.1991)/27</t>
  </si>
  <si>
    <t>88,90</t>
  </si>
  <si>
    <t>250,0</t>
  </si>
  <si>
    <t>272,5</t>
  </si>
  <si>
    <t>2. Омельченко Александр</t>
  </si>
  <si>
    <t>3. Поздняков Артем</t>
  </si>
  <si>
    <t>Мироненко Максим</t>
  </si>
  <si>
    <t>4. Мироненко Максим</t>
  </si>
  <si>
    <t>Открытая (01.03.1996)/23</t>
  </si>
  <si>
    <t>87,20</t>
  </si>
  <si>
    <t>Антонов Андрей</t>
  </si>
  <si>
    <t>1. Антонов Андрей</t>
  </si>
  <si>
    <t>Открытая (29.10.1982)/36</t>
  </si>
  <si>
    <t>96,25</t>
  </si>
  <si>
    <t>Мастера 40 - 44 (27.03.1977)/42</t>
  </si>
  <si>
    <t>67.5</t>
  </si>
  <si>
    <t>147,4250</t>
  </si>
  <si>
    <t>139,3700</t>
  </si>
  <si>
    <t>139,1745</t>
  </si>
  <si>
    <t>136,7810</t>
  </si>
  <si>
    <t>129,9870</t>
  </si>
  <si>
    <t>127,5540</t>
  </si>
  <si>
    <t>124,0910</t>
  </si>
  <si>
    <t>119,3800</t>
  </si>
  <si>
    <t>THE LAST MAN STANDING
ПРО становая тяга без экипировки
Ростов-на-Дону/Ростовская область июля 2019 г.</t>
  </si>
  <si>
    <t>1. Александрова Мария</t>
  </si>
  <si>
    <t>Юниорки 20 - 23 (05.03.1999)/20</t>
  </si>
  <si>
    <t>73,65</t>
  </si>
  <si>
    <t xml:space="preserve">Super Liga </t>
  </si>
  <si>
    <t>80,0</t>
  </si>
  <si>
    <t>90,0</t>
  </si>
  <si>
    <t xml:space="preserve">Дуравкин Е. </t>
  </si>
  <si>
    <t>-. Пономаренко Илья</t>
  </si>
  <si>
    <t>Открытая (04.08.1994)/24</t>
  </si>
  <si>
    <t>71,75</t>
  </si>
  <si>
    <t xml:space="preserve">Профессионал </t>
  </si>
  <si>
    <t xml:space="preserve">Роднина А. </t>
  </si>
  <si>
    <t>THE LAST MAN STANDING
Силовое двоеборье любители
Ростов-на-Дону/Ростовская область июля 2019 г.</t>
  </si>
  <si>
    <t>1. Борисевич Кирилл</t>
  </si>
  <si>
    <t>Открытая (16.07.1994)/25</t>
  </si>
  <si>
    <t>81,60</t>
  </si>
  <si>
    <t xml:space="preserve">Челябинск/Челябинская область </t>
  </si>
  <si>
    <t>182,5</t>
  </si>
  <si>
    <t>1. Твердохлеб Дмитрий</t>
  </si>
  <si>
    <t>Открытая (20.01.1993)/26</t>
  </si>
  <si>
    <t>97,00</t>
  </si>
  <si>
    <t xml:space="preserve">Свердловск/Свердловская </t>
  </si>
  <si>
    <t>20,0</t>
  </si>
  <si>
    <t xml:space="preserve">Шапошник Д. </t>
  </si>
  <si>
    <t>THE LAST MAN STANDING
Силовое двоеборье профессионалы
Ростов-на-Дону/Ростовская область июля 2019 г.</t>
  </si>
  <si>
    <t>Катышев Игорь</t>
  </si>
  <si>
    <t>1. Катышев Игорь</t>
  </si>
  <si>
    <t>Открытая (15.04.1983)/36</t>
  </si>
  <si>
    <t>81,75</t>
  </si>
  <si>
    <t>Миколаенко Сергей</t>
  </si>
  <si>
    <t>1. Миколаенко Сергей</t>
  </si>
  <si>
    <t>Открытая (19.03.1985)/34</t>
  </si>
  <si>
    <t>98,20</t>
  </si>
  <si>
    <t>270,0</t>
  </si>
  <si>
    <t xml:space="preserve">Айвазов А. </t>
  </si>
  <si>
    <t>Гавриков Валерий</t>
  </si>
  <si>
    <t>1. Гавриков Валерий</t>
  </si>
  <si>
    <t>Открытая (28.05.1990)/29</t>
  </si>
  <si>
    <t xml:space="preserve">Tokarchuk Team </t>
  </si>
  <si>
    <t xml:space="preserve">Константиновск/Ростовская область </t>
  </si>
  <si>
    <t>290,0</t>
  </si>
  <si>
    <t>320,0</t>
  </si>
  <si>
    <t>340,0</t>
  </si>
  <si>
    <t>520,0</t>
  </si>
  <si>
    <t>279,0320</t>
  </si>
  <si>
    <t>430,0</t>
  </si>
  <si>
    <t>240,1980</t>
  </si>
  <si>
    <t>360,0</t>
  </si>
  <si>
    <t>224,3700</t>
  </si>
  <si>
    <t>THE LAST MAN STANDING Бицепс
Одиночный подъём штанги на бицепс Любители
Ростов-на-Дону/Ростовская область июля 2019 г.</t>
  </si>
  <si>
    <t>Подъем на бицепс</t>
  </si>
  <si>
    <t>ВЕСОВАЯ КАТЕГОРИЯ   60</t>
  </si>
  <si>
    <t>Тарханян Телман</t>
  </si>
  <si>
    <t>1. Тарханян Телман</t>
  </si>
  <si>
    <t>59,65</t>
  </si>
  <si>
    <t xml:space="preserve">Чалтырь/Ростовская область </t>
  </si>
  <si>
    <t xml:space="preserve">Тумасян Х. </t>
  </si>
  <si>
    <t>Вербицкий Сергей</t>
  </si>
  <si>
    <t>2. Вербицкий Сергей</t>
  </si>
  <si>
    <t>Открытая (14.07.1993)/26</t>
  </si>
  <si>
    <t>59,35</t>
  </si>
  <si>
    <t>47,5</t>
  </si>
  <si>
    <t>Солощенко Алексей</t>
  </si>
  <si>
    <t>1. Солощенко Алексей</t>
  </si>
  <si>
    <t>Открытая (05.09.1988)/30</t>
  </si>
  <si>
    <t>65,10</t>
  </si>
  <si>
    <t>40,0</t>
  </si>
  <si>
    <t>Бисалиев Ануар</t>
  </si>
  <si>
    <t>2. Бисалиев Ануар</t>
  </si>
  <si>
    <t>Открытая (17.05.1991)/28</t>
  </si>
  <si>
    <t>65,45</t>
  </si>
  <si>
    <t>52,5</t>
  </si>
  <si>
    <t>Рыбкин Максим</t>
  </si>
  <si>
    <t>1. Рыбкин Максим</t>
  </si>
  <si>
    <t>Открытая (16.04.1986)/33</t>
  </si>
  <si>
    <t>74,90</t>
  </si>
  <si>
    <t xml:space="preserve">Сальск/Ростовская область </t>
  </si>
  <si>
    <t>65,0</t>
  </si>
  <si>
    <t>Рябыкин Дмитрий</t>
  </si>
  <si>
    <t>2. Рябыкин Дмитрий</t>
  </si>
  <si>
    <t>Открытая (08.06.1984)/35</t>
  </si>
  <si>
    <t>72,50</t>
  </si>
  <si>
    <t>55,0</t>
  </si>
  <si>
    <t>Соломахин Александр</t>
  </si>
  <si>
    <t>3. Соломахин Александр</t>
  </si>
  <si>
    <t>Открытая (27.06.1984)/35</t>
  </si>
  <si>
    <t>Гуревич Александр</t>
  </si>
  <si>
    <t>1. Гуревич Александр</t>
  </si>
  <si>
    <t>Открытая (15.03.1991)/28</t>
  </si>
  <si>
    <t>80,65</t>
  </si>
  <si>
    <t>Куришко Никита</t>
  </si>
  <si>
    <t>1. Куришко Никита</t>
  </si>
  <si>
    <t>Открытая (20.11.1992)/26</t>
  </si>
  <si>
    <t>88,35</t>
  </si>
  <si>
    <t>Дмитриченко Александр</t>
  </si>
  <si>
    <t>2. Дмитриченко Александр</t>
  </si>
  <si>
    <t>Открытая (14.06.1986)/33</t>
  </si>
  <si>
    <t>87,50</t>
  </si>
  <si>
    <t>Изюмов Андрей</t>
  </si>
  <si>
    <t>1. Изюмов Андрей</t>
  </si>
  <si>
    <t>Открытая (16.09.1991)/27</t>
  </si>
  <si>
    <t>108,10</t>
  </si>
  <si>
    <t>75,0</t>
  </si>
  <si>
    <t>82,5</t>
  </si>
  <si>
    <t>85,0</t>
  </si>
  <si>
    <t>2. Дьячков Руслан</t>
  </si>
  <si>
    <t>72,5</t>
  </si>
  <si>
    <t>60</t>
  </si>
  <si>
    <t>49,0650</t>
  </si>
  <si>
    <t>47,5110</t>
  </si>
  <si>
    <t>44,4593</t>
  </si>
  <si>
    <t>43,2380</t>
  </si>
  <si>
    <t>41,1025</t>
  </si>
  <si>
    <t>40,9680</t>
  </si>
  <si>
    <t>40,9012</t>
  </si>
  <si>
    <t>39,9600</t>
  </si>
  <si>
    <t>39,0368</t>
  </si>
  <si>
    <t>38,7140</t>
  </si>
  <si>
    <t>37,5150</t>
  </si>
  <si>
    <t>35,4611</t>
  </si>
  <si>
    <t>33,6250</t>
  </si>
  <si>
    <t>THE LAST MAN STANDING Бицепс
Одиночный подъём штанги на бицепс Профессионалы
Ростов-на-Дону/Ростовская область июля 2019 г.</t>
  </si>
  <si>
    <t>1. Зикин Богдан</t>
  </si>
  <si>
    <t>87,5</t>
  </si>
  <si>
    <t>THE LAST MAN STANDING Народный жим
Любители народный жим (1 вес)
Ростов-на-Дону/Ростовская область июля 2019 г.</t>
  </si>
  <si>
    <t>НАП Н.Ж.</t>
  </si>
  <si>
    <t>1. Ляпичев Сергей</t>
  </si>
  <si>
    <t>Открытая (08.09.1987)/31</t>
  </si>
  <si>
    <t>42,0</t>
  </si>
  <si>
    <t>Ляпичев Евгений</t>
  </si>
  <si>
    <t>Открытая (23.12.1984)/34</t>
  </si>
  <si>
    <t>Жим мн. повт.</t>
  </si>
  <si>
    <t>Вес</t>
  </si>
  <si>
    <t>Повторы</t>
  </si>
  <si>
    <t>Тоннаж</t>
  </si>
  <si>
    <t>THE LAST MAN STANDING Народный жим
Любители народный жим (1/2 вес)
Ростов-на-Дону/Ростовская область июля 2019 г.</t>
  </si>
  <si>
    <t>1. Сидоренко Елена</t>
  </si>
  <si>
    <t>27,5</t>
  </si>
  <si>
    <t>33,0</t>
  </si>
  <si>
    <t>THE LAST MAN STANDING Народный жим
Профессионалы народный жим (1 вес)
Ростов-на-Дону/Ростовская область июля 2019 г.</t>
  </si>
  <si>
    <t>1. Музыченко Павел</t>
  </si>
  <si>
    <t>Открытая (30.05.1980)/39</t>
  </si>
  <si>
    <t>80,40</t>
  </si>
  <si>
    <t>37,0</t>
  </si>
  <si>
    <t>2. Катышев Игорь</t>
  </si>
  <si>
    <t>34,0</t>
  </si>
  <si>
    <t>THE LAST MAN STANDING Русский жим
Русский жим любители 55 кг.
Ростов-на-Дону/Ростовская область июля 2019 г.</t>
  </si>
  <si>
    <t>Атлетизм</t>
  </si>
  <si>
    <t>ВЕСОВАЯ КАТЕГОРИЯ   All</t>
  </si>
  <si>
    <t>Хорошаев Геннадий</t>
  </si>
  <si>
    <t>1. Хорошаев Геннадий</t>
  </si>
  <si>
    <t>Открытая (07.03.1963)/56</t>
  </si>
  <si>
    <t>116,55</t>
  </si>
  <si>
    <t>74,0</t>
  </si>
  <si>
    <t>2. Ляпичев Евгений</t>
  </si>
  <si>
    <t>64,0</t>
  </si>
  <si>
    <t>46,0</t>
  </si>
  <si>
    <t>Шапошник Дмитрий</t>
  </si>
  <si>
    <t>4. Шапошник Дмитрий</t>
  </si>
  <si>
    <t>Открытая (28.01.1980)/39</t>
  </si>
  <si>
    <t>86,40</t>
  </si>
  <si>
    <t>5. Солощенко Алексей</t>
  </si>
  <si>
    <t>1. Иващенко Владимир</t>
  </si>
  <si>
    <t>Мастера 55 - 59 (26.01.1961)/58</t>
  </si>
  <si>
    <t>73,60</t>
  </si>
  <si>
    <t>52,0</t>
  </si>
  <si>
    <t xml:space="preserve">Атлетизм </t>
  </si>
  <si>
    <t>All</t>
  </si>
  <si>
    <t>3520,0</t>
  </si>
  <si>
    <t>39,1546</t>
  </si>
  <si>
    <t>4070,0</t>
  </si>
  <si>
    <t>34,9206</t>
  </si>
  <si>
    <t>2530,0</t>
  </si>
  <si>
    <t>29,7997</t>
  </si>
  <si>
    <t>1870,0</t>
  </si>
  <si>
    <t>28,7250</t>
  </si>
  <si>
    <t>2200,0</t>
  </si>
  <si>
    <t>25,4629</t>
  </si>
  <si>
    <t>THE LAST MAN STANDING Русский жим
Русский жим любители 75 кг.
Ростов-на-Дону/Ростовская область июля 2019 г.</t>
  </si>
  <si>
    <t>Супруненко Владислав</t>
  </si>
  <si>
    <t>1. Супруненко Владислав</t>
  </si>
  <si>
    <t>Открытая (15.02.1989)/30</t>
  </si>
  <si>
    <t>97,65</t>
  </si>
  <si>
    <t>71,0</t>
  </si>
  <si>
    <t>2. Хорошаев Денис</t>
  </si>
  <si>
    <t>Муртазалиев Курбан</t>
  </si>
  <si>
    <t>3. Муртазалиев Курбан</t>
  </si>
  <si>
    <t>Открытая (23.05.1992)/27</t>
  </si>
  <si>
    <t>81,45</t>
  </si>
  <si>
    <t>24,0</t>
  </si>
  <si>
    <t>Мастера 55 - 59 (07.03.1963)/56</t>
  </si>
  <si>
    <t>5325,0</t>
  </si>
  <si>
    <t>54,5314</t>
  </si>
  <si>
    <t>2475,0</t>
  </si>
  <si>
    <t>25,3846</t>
  </si>
  <si>
    <t>1800,0</t>
  </si>
  <si>
    <t>22,0994</t>
  </si>
  <si>
    <t>THE LAST MAN STANDING Русский жим
Русский жим любители 150 кг.
Ростов-на-Дону/Ростовская область июля 2019 г.</t>
  </si>
  <si>
    <t>7,0</t>
  </si>
  <si>
    <t>1050</t>
  </si>
  <si>
    <t>8,8235</t>
  </si>
  <si>
    <t>Алампиев А.С.</t>
  </si>
  <si>
    <t>Изюмов А.И</t>
  </si>
  <si>
    <t>Талько А.А.</t>
  </si>
  <si>
    <t>Щеколкин А.Д.</t>
  </si>
  <si>
    <t>THE LAST MAN STANDING Русский жим
Русская тяга профессионалы 150 кг.
Ростов-на-Дону/Ростовская область июля 2019 г.</t>
  </si>
  <si>
    <t>THE LAST MAN STANDING Русский жим
Русская тяга профессионалы 100 кг.
Ростов-на-Дону/Ростовская область июля 2019 г.</t>
  </si>
  <si>
    <t>THE LAST MAN STANDING Русский жим
Русская тяга любители 100 кг.
Ростов-на-Дону/Ростовская область июля 2019 г.</t>
  </si>
  <si>
    <t>THE LAST MAN STANDING Русский жим
Русская тяга любители 55 кг.
Ростов-на-Дону/Ростовская область июля 2019 г.</t>
  </si>
  <si>
    <t xml:space="preserve">  </t>
  </si>
  <si>
    <t xml:space="preserve"> </t>
  </si>
  <si>
    <t>52,00</t>
  </si>
  <si>
    <t>Самостоятельно</t>
  </si>
  <si>
    <t>Лично</t>
  </si>
  <si>
    <t>Краснодар</t>
  </si>
  <si>
    <t>59</t>
  </si>
  <si>
    <t>31</t>
  </si>
  <si>
    <t>2. Бакаева Вероника</t>
  </si>
  <si>
    <t>55</t>
  </si>
  <si>
    <t>Кривонос Кирилл</t>
  </si>
  <si>
    <t>Свердловск</t>
  </si>
  <si>
    <t>Шапошник Д.</t>
  </si>
  <si>
    <t>Профессионал</t>
  </si>
  <si>
    <t>Семикаракорск</t>
  </si>
  <si>
    <t>Кобилинский Д.</t>
  </si>
  <si>
    <t>RHINODON</t>
  </si>
  <si>
    <t>Открытая (07.09.1989)/29</t>
  </si>
  <si>
    <t>Открытая (24.12.1988)/30</t>
  </si>
  <si>
    <t>Открытая (17.06.1994)/25</t>
  </si>
  <si>
    <t>150</t>
  </si>
  <si>
    <t>34</t>
  </si>
  <si>
    <t>Иванов Олег</t>
  </si>
  <si>
    <t>Аксай</t>
  </si>
  <si>
    <t>самостоятельно</t>
  </si>
  <si>
    <t>Открытая (04.03.1994)/25</t>
  </si>
  <si>
    <t>98,4</t>
  </si>
  <si>
    <t>1. Иванов Олег</t>
  </si>
  <si>
    <t>2. Кривонос Кирилл</t>
  </si>
  <si>
    <t>3. Катрецкий Андрей</t>
  </si>
  <si>
    <t>лично</t>
  </si>
  <si>
    <t>1. Соловьев Александр</t>
  </si>
  <si>
    <t>Открытая (04.11.1968)/50</t>
  </si>
  <si>
    <t>Мастера 50 - 54 (04.11.1968)/50</t>
  </si>
  <si>
    <t>1. Мирзоев Андрей</t>
  </si>
  <si>
    <t>Дрожко П.А.</t>
  </si>
  <si>
    <t>Деркачева Н.О.</t>
  </si>
  <si>
    <t>Изюмов А.И.</t>
  </si>
  <si>
    <t>THE LAST MAN STANDING
ПРО жим лежа в 1 слойной софт экипировке
Ростов-на-Дону/Ростовская область июля 2019 г.</t>
  </si>
  <si>
    <t>THE LAST MAN STANDING
Любители жим лежа в 1 слойной софт экипировке
Ростов-на-Дону/Ростовская область июля 2019 г.</t>
  </si>
  <si>
    <t>1. Деркач Николай</t>
  </si>
  <si>
    <t>Шапошник Д.Е.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</si>
</sst>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22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indent="1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indent="1"/>
    </xf>
    <xf numFmtId="2" fontId="0" fillId="0" borderId="11" xfId="0" applyNumberFormat="1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left" inden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B1">
      <selection activeCell="F10" sqref="F10"/>
    </sheetView>
  </sheetViews>
  <sheetFormatPr defaultColWidth="9.125" defaultRowHeight="12.75"/>
  <cols>
    <col min="1" max="1" width="24.625" style="4" bestFit="1" customWidth="1"/>
    <col min="2" max="2" width="28.625" style="4" bestFit="1" customWidth="1"/>
    <col min="3" max="3" width="12.00390625" style="4" customWidth="1"/>
    <col min="4" max="4" width="10.625" style="4" bestFit="1" customWidth="1"/>
    <col min="5" max="5" width="21.875" style="4" bestFit="1" customWidth="1"/>
    <col min="6" max="6" width="27.125" style="4" bestFit="1" customWidth="1"/>
    <col min="7" max="7" width="4.875" style="3" bestFit="1" customWidth="1"/>
    <col min="8" max="8" width="10.00390625" style="29" bestFit="1" customWidth="1"/>
    <col min="9" max="9" width="8.37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43" t="s">
        <v>528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1" t="s">
        <v>6</v>
      </c>
      <c r="C3" s="53" t="s">
        <v>7</v>
      </c>
      <c r="D3" s="55" t="s">
        <v>470</v>
      </c>
      <c r="E3" s="55" t="s">
        <v>4</v>
      </c>
      <c r="F3" s="55" t="s">
        <v>8</v>
      </c>
      <c r="G3" s="55" t="s">
        <v>454</v>
      </c>
      <c r="H3" s="55"/>
      <c r="I3" s="55" t="s">
        <v>457</v>
      </c>
      <c r="J3" s="55" t="s">
        <v>3</v>
      </c>
      <c r="K3" s="39" t="s">
        <v>2</v>
      </c>
    </row>
    <row r="4" spans="1:11" s="1" customFormat="1" ht="21" customHeight="1" thickBot="1">
      <c r="A4" s="50"/>
      <c r="B4" s="52"/>
      <c r="C4" s="54"/>
      <c r="D4" s="52"/>
      <c r="E4" s="52"/>
      <c r="F4" s="52"/>
      <c r="G4" s="6" t="s">
        <v>455</v>
      </c>
      <c r="H4" s="27" t="s">
        <v>456</v>
      </c>
      <c r="I4" s="52"/>
      <c r="J4" s="52"/>
      <c r="K4" s="40"/>
    </row>
    <row r="5" spans="1:10" ht="15">
      <c r="A5" s="41" t="s">
        <v>471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566</v>
      </c>
      <c r="B6" s="7" t="s">
        <v>551</v>
      </c>
      <c r="C6" s="7" t="s">
        <v>558</v>
      </c>
      <c r="D6" s="34" t="str">
        <f>"1,0000"</f>
        <v>1,0000</v>
      </c>
      <c r="E6" s="7" t="s">
        <v>548</v>
      </c>
      <c r="F6" s="7" t="s">
        <v>546</v>
      </c>
      <c r="G6" s="9" t="s">
        <v>552</v>
      </c>
      <c r="H6" s="28" t="s">
        <v>553</v>
      </c>
      <c r="I6" s="7">
        <f>34*150</f>
        <v>5100</v>
      </c>
      <c r="J6" s="9">
        <f>I6/98.4</f>
        <v>51.829268292682926</v>
      </c>
      <c r="K6" s="7" t="s">
        <v>547</v>
      </c>
    </row>
    <row r="8" spans="5:6" ht="15">
      <c r="E8" s="10" t="s">
        <v>54</v>
      </c>
      <c r="F8" s="32" t="s">
        <v>569</v>
      </c>
    </row>
    <row r="9" spans="5:6" ht="15">
      <c r="E9" s="10" t="s">
        <v>55</v>
      </c>
      <c r="F9" s="32" t="s">
        <v>526</v>
      </c>
    </row>
    <row r="10" spans="5:6" ht="15">
      <c r="E10" s="10" t="s">
        <v>56</v>
      </c>
      <c r="F10" s="32" t="s">
        <v>569</v>
      </c>
    </row>
    <row r="11" spans="5:6" ht="15">
      <c r="E11" s="10" t="s">
        <v>57</v>
      </c>
      <c r="F11" s="32" t="s">
        <v>527</v>
      </c>
    </row>
    <row r="12" ht="15">
      <c r="E12" s="10"/>
    </row>
    <row r="13" ht="15">
      <c r="E13" s="10"/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B1">
      <selection activeCell="F16" sqref="F16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2.125" style="4" customWidth="1"/>
    <col min="4" max="4" width="10.375" style="4" bestFit="1" customWidth="1"/>
    <col min="5" max="5" width="21.875" style="4" bestFit="1" customWidth="1"/>
    <col min="6" max="6" width="27.125" style="4" bestFit="1" customWidth="1"/>
    <col min="7" max="7" width="4.875" style="3" bestFit="1" customWidth="1"/>
    <col min="8" max="8" width="10.00390625" style="29" bestFit="1" customWidth="1"/>
    <col min="9" max="9" width="7.625" style="4" bestFit="1" customWidth="1"/>
    <col min="10" max="10" width="9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43" t="s">
        <v>447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1" t="s">
        <v>6</v>
      </c>
      <c r="C3" s="53" t="s">
        <v>7</v>
      </c>
      <c r="D3" s="55" t="s">
        <v>448</v>
      </c>
      <c r="E3" s="55" t="s">
        <v>4</v>
      </c>
      <c r="F3" s="55" t="s">
        <v>8</v>
      </c>
      <c r="G3" s="55" t="s">
        <v>454</v>
      </c>
      <c r="H3" s="55"/>
      <c r="I3" s="55" t="s">
        <v>457</v>
      </c>
      <c r="J3" s="55" t="s">
        <v>3</v>
      </c>
      <c r="K3" s="39" t="s">
        <v>2</v>
      </c>
    </row>
    <row r="4" spans="1:11" s="1" customFormat="1" ht="21" customHeight="1" thickBot="1">
      <c r="A4" s="50"/>
      <c r="B4" s="52"/>
      <c r="C4" s="54"/>
      <c r="D4" s="52"/>
      <c r="E4" s="52"/>
      <c r="F4" s="52"/>
      <c r="G4" s="5" t="s">
        <v>455</v>
      </c>
      <c r="H4" s="27" t="s">
        <v>456</v>
      </c>
      <c r="I4" s="52"/>
      <c r="J4" s="52"/>
      <c r="K4" s="40"/>
    </row>
    <row r="5" spans="1:10" ht="15">
      <c r="A5" s="41" t="s">
        <v>102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449</v>
      </c>
      <c r="B6" s="7" t="s">
        <v>450</v>
      </c>
      <c r="C6" s="7" t="s">
        <v>283</v>
      </c>
      <c r="D6" s="7" t="str">
        <f>"0,8086"</f>
        <v>0,8086</v>
      </c>
      <c r="E6" s="7" t="s">
        <v>97</v>
      </c>
      <c r="F6" s="7" t="s">
        <v>98</v>
      </c>
      <c r="G6" s="9" t="s">
        <v>425</v>
      </c>
      <c r="H6" s="28" t="s">
        <v>451</v>
      </c>
      <c r="I6" s="7" t="str">
        <f>"3150,0"</f>
        <v>3150,0</v>
      </c>
      <c r="J6" s="9" t="str">
        <f>"2547,0900"</f>
        <v>2547,0900</v>
      </c>
      <c r="K6" s="7" t="s">
        <v>101</v>
      </c>
    </row>
    <row r="9" spans="5:6" ht="15">
      <c r="E9" s="10" t="s">
        <v>54</v>
      </c>
      <c r="F9" s="32" t="s">
        <v>569</v>
      </c>
    </row>
    <row r="10" spans="5:6" ht="15">
      <c r="E10" s="10" t="s">
        <v>55</v>
      </c>
      <c r="F10" s="32" t="s">
        <v>526</v>
      </c>
    </row>
    <row r="11" spans="5:6" ht="15">
      <c r="E11" s="10" t="s">
        <v>56</v>
      </c>
      <c r="F11" s="32" t="s">
        <v>569</v>
      </c>
    </row>
    <row r="12" spans="5:6" ht="15">
      <c r="E12" s="10" t="s">
        <v>57</v>
      </c>
      <c r="F12" s="32" t="s">
        <v>527</v>
      </c>
    </row>
    <row r="13" spans="5:6" ht="15">
      <c r="E13" s="10"/>
      <c r="F13" s="32"/>
    </row>
    <row r="14" ht="15">
      <c r="E14" s="10"/>
    </row>
    <row r="15" ht="15">
      <c r="E15" s="10"/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8" sqref="E8:F12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3.125" style="4" customWidth="1"/>
    <col min="4" max="4" width="8.875" style="4" bestFit="1" customWidth="1"/>
    <col min="5" max="5" width="21.875" style="4" bestFit="1" customWidth="1"/>
    <col min="6" max="6" width="17.875" style="4" bestFit="1" customWidth="1"/>
    <col min="7" max="9" width="5.625" style="3" customWidth="1"/>
    <col min="10" max="10" width="4.625" style="3" bestFit="1" customWidth="1"/>
    <col min="11" max="11" width="11.375" style="4" bestFit="1" customWidth="1"/>
    <col min="12" max="12" width="7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43" t="s">
        <v>444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373</v>
      </c>
      <c r="H3" s="55"/>
      <c r="I3" s="55"/>
      <c r="J3" s="55"/>
      <c r="K3" s="55" t="s">
        <v>75</v>
      </c>
      <c r="L3" s="55" t="s">
        <v>3</v>
      </c>
      <c r="M3" s="39" t="s">
        <v>2</v>
      </c>
    </row>
    <row r="4" spans="1:13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2"/>
      <c r="L4" s="52"/>
      <c r="M4" s="40"/>
    </row>
    <row r="5" spans="1:12" ht="15">
      <c r="A5" s="41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7" t="s">
        <v>445</v>
      </c>
      <c r="B6" s="7" t="s">
        <v>189</v>
      </c>
      <c r="C6" s="7" t="s">
        <v>190</v>
      </c>
      <c r="D6" s="7" t="str">
        <f>"0,5416"</f>
        <v>0,5416</v>
      </c>
      <c r="E6" s="7" t="s">
        <v>16</v>
      </c>
      <c r="F6" s="7" t="s">
        <v>191</v>
      </c>
      <c r="G6" s="9" t="s">
        <v>429</v>
      </c>
      <c r="H6" s="9" t="s">
        <v>327</v>
      </c>
      <c r="I6" s="9" t="s">
        <v>446</v>
      </c>
      <c r="J6" s="8"/>
      <c r="K6" s="7" t="str">
        <f>"87,5"</f>
        <v>87,5</v>
      </c>
      <c r="L6" s="9" t="str">
        <f>"47,3944"</f>
        <v>47,3944</v>
      </c>
      <c r="M6" s="7" t="s">
        <v>53</v>
      </c>
    </row>
    <row r="8" spans="5:6" ht="15">
      <c r="E8" s="10" t="s">
        <v>54</v>
      </c>
      <c r="F8" s="32" t="s">
        <v>525</v>
      </c>
    </row>
    <row r="9" spans="5:6" ht="15">
      <c r="E9" s="10" t="s">
        <v>55</v>
      </c>
      <c r="F9" s="32" t="s">
        <v>526</v>
      </c>
    </row>
    <row r="10" spans="5:6" ht="15">
      <c r="E10" s="10" t="s">
        <v>56</v>
      </c>
      <c r="F10" s="32" t="s">
        <v>527</v>
      </c>
    </row>
    <row r="11" spans="5:6" ht="15">
      <c r="E11" s="10" t="s">
        <v>57</v>
      </c>
      <c r="F11" s="32" t="s">
        <v>524</v>
      </c>
    </row>
    <row r="12" spans="5:6" ht="15">
      <c r="E12" s="10" t="s">
        <v>57</v>
      </c>
      <c r="F12" s="32" t="s">
        <v>567</v>
      </c>
    </row>
    <row r="13" ht="15">
      <c r="E13" s="10"/>
    </row>
    <row r="14" ht="15">
      <c r="E14" s="10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2">
      <selection activeCell="F42" sqref="F42"/>
    </sheetView>
  </sheetViews>
  <sheetFormatPr defaultColWidth="9.125" defaultRowHeight="12.75"/>
  <cols>
    <col min="1" max="1" width="24.625" style="4" bestFit="1" customWidth="1"/>
    <col min="2" max="2" width="28.625" style="4" bestFit="1" customWidth="1"/>
    <col min="3" max="3" width="11.875" style="4" customWidth="1"/>
    <col min="4" max="4" width="8.875" style="4" bestFit="1" customWidth="1"/>
    <col min="5" max="5" width="21.875" style="4" bestFit="1" customWidth="1"/>
    <col min="6" max="6" width="34.00390625" style="4" bestFit="1" customWidth="1"/>
    <col min="7" max="9" width="5.375" style="3" customWidth="1"/>
    <col min="10" max="10" width="4.625" style="3" bestFit="1" customWidth="1"/>
    <col min="11" max="11" width="10.125" style="4" bestFit="1" customWidth="1"/>
    <col min="12" max="12" width="7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43" t="s">
        <v>372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373</v>
      </c>
      <c r="H3" s="55"/>
      <c r="I3" s="55"/>
      <c r="J3" s="55"/>
      <c r="K3" s="60" t="s">
        <v>75</v>
      </c>
      <c r="L3" s="55" t="s">
        <v>3</v>
      </c>
      <c r="M3" s="39" t="s">
        <v>2</v>
      </c>
    </row>
    <row r="4" spans="1:13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7"/>
      <c r="L4" s="52"/>
      <c r="M4" s="40"/>
    </row>
    <row r="5" spans="1:12" ht="15">
      <c r="A5" s="41" t="s">
        <v>374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18" t="s">
        <v>376</v>
      </c>
      <c r="B6" s="18" t="s">
        <v>24</v>
      </c>
      <c r="C6" s="18" t="s">
        <v>377</v>
      </c>
      <c r="D6" s="18" t="str">
        <f>"0,8177"</f>
        <v>0,8177</v>
      </c>
      <c r="E6" s="18" t="s">
        <v>16</v>
      </c>
      <c r="F6" s="18" t="s">
        <v>378</v>
      </c>
      <c r="G6" s="20" t="s">
        <v>91</v>
      </c>
      <c r="H6" s="20" t="s">
        <v>18</v>
      </c>
      <c r="I6" s="19" t="s">
        <v>92</v>
      </c>
      <c r="J6" s="19"/>
      <c r="K6" s="18" t="str">
        <f>"60,0"</f>
        <v>60,0</v>
      </c>
      <c r="L6" s="20" t="str">
        <f>"49,0650"</f>
        <v>49,0650</v>
      </c>
      <c r="M6" s="18" t="s">
        <v>379</v>
      </c>
    </row>
    <row r="7" spans="1:13" ht="12.75">
      <c r="A7" s="21" t="s">
        <v>381</v>
      </c>
      <c r="B7" s="21" t="s">
        <v>382</v>
      </c>
      <c r="C7" s="21" t="s">
        <v>383</v>
      </c>
      <c r="D7" s="21" t="str">
        <f>"0,8220"</f>
        <v>0,8220</v>
      </c>
      <c r="E7" s="21" t="s">
        <v>49</v>
      </c>
      <c r="F7" s="21" t="s">
        <v>17</v>
      </c>
      <c r="G7" s="23" t="s">
        <v>384</v>
      </c>
      <c r="H7" s="23" t="s">
        <v>100</v>
      </c>
      <c r="I7" s="22" t="s">
        <v>91</v>
      </c>
      <c r="J7" s="22"/>
      <c r="K7" s="21" t="str">
        <f>"50,0"</f>
        <v>50,0</v>
      </c>
      <c r="L7" s="23" t="str">
        <f>"41,1025"</f>
        <v>41,1025</v>
      </c>
      <c r="M7" s="21" t="s">
        <v>53</v>
      </c>
    </row>
    <row r="9" spans="1:12" ht="15">
      <c r="A9" s="58" t="s">
        <v>276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3" ht="12.75">
      <c r="A10" s="18" t="s">
        <v>386</v>
      </c>
      <c r="B10" s="18" t="s">
        <v>387</v>
      </c>
      <c r="C10" s="18" t="s">
        <v>388</v>
      </c>
      <c r="D10" s="18" t="str">
        <f>"0,7503"</f>
        <v>0,7503</v>
      </c>
      <c r="E10" s="18" t="s">
        <v>97</v>
      </c>
      <c r="F10" s="18" t="s">
        <v>98</v>
      </c>
      <c r="G10" s="20" t="s">
        <v>389</v>
      </c>
      <c r="H10" s="20" t="s">
        <v>384</v>
      </c>
      <c r="I10" s="20" t="s">
        <v>100</v>
      </c>
      <c r="J10" s="19"/>
      <c r="K10" s="18" t="str">
        <f>"50,0"</f>
        <v>50,0</v>
      </c>
      <c r="L10" s="20" t="str">
        <f>"37,5150"</f>
        <v>37,5150</v>
      </c>
      <c r="M10" s="18" t="s">
        <v>101</v>
      </c>
    </row>
    <row r="11" spans="1:13" ht="12.75">
      <c r="A11" s="21" t="s">
        <v>391</v>
      </c>
      <c r="B11" s="21" t="s">
        <v>392</v>
      </c>
      <c r="C11" s="21" t="s">
        <v>393</v>
      </c>
      <c r="D11" s="21" t="str">
        <f>"0,7466"</f>
        <v>0,7466</v>
      </c>
      <c r="E11" s="21" t="s">
        <v>49</v>
      </c>
      <c r="F11" s="21" t="s">
        <v>17</v>
      </c>
      <c r="G11" s="22" t="s">
        <v>99</v>
      </c>
      <c r="H11" s="23" t="s">
        <v>384</v>
      </c>
      <c r="I11" s="22" t="s">
        <v>394</v>
      </c>
      <c r="J11" s="22"/>
      <c r="K11" s="21" t="str">
        <f>"47,5"</f>
        <v>47,5</v>
      </c>
      <c r="L11" s="23" t="str">
        <f>"35,4611"</f>
        <v>35,4611</v>
      </c>
      <c r="M11" s="21" t="s">
        <v>53</v>
      </c>
    </row>
    <row r="13" spans="1:12" ht="15">
      <c r="A13" s="58" t="s">
        <v>102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3" ht="12.75">
      <c r="A14" s="18" t="s">
        <v>396</v>
      </c>
      <c r="B14" s="18" t="s">
        <v>397</v>
      </c>
      <c r="C14" s="18" t="s">
        <v>398</v>
      </c>
      <c r="D14" s="18" t="str">
        <f>"0,6652"</f>
        <v>0,6652</v>
      </c>
      <c r="E14" s="18" t="s">
        <v>16</v>
      </c>
      <c r="F14" s="18" t="s">
        <v>399</v>
      </c>
      <c r="G14" s="20" t="s">
        <v>18</v>
      </c>
      <c r="H14" s="20" t="s">
        <v>92</v>
      </c>
      <c r="I14" s="20" t="s">
        <v>400</v>
      </c>
      <c r="J14" s="19"/>
      <c r="K14" s="18" t="str">
        <f>"65,0"</f>
        <v>65,0</v>
      </c>
      <c r="L14" s="20" t="str">
        <f>"43,2380"</f>
        <v>43,2380</v>
      </c>
      <c r="M14" s="18" t="s">
        <v>53</v>
      </c>
    </row>
    <row r="15" spans="1:13" ht="12.75">
      <c r="A15" s="24" t="s">
        <v>402</v>
      </c>
      <c r="B15" s="24" t="s">
        <v>403</v>
      </c>
      <c r="C15" s="24" t="s">
        <v>404</v>
      </c>
      <c r="D15" s="24" t="str">
        <f>"0,6828"</f>
        <v>0,6828</v>
      </c>
      <c r="E15" s="24" t="s">
        <v>49</v>
      </c>
      <c r="F15" s="24" t="s">
        <v>17</v>
      </c>
      <c r="G15" s="26" t="s">
        <v>405</v>
      </c>
      <c r="H15" s="26" t="s">
        <v>18</v>
      </c>
      <c r="I15" s="25" t="s">
        <v>400</v>
      </c>
      <c r="J15" s="25"/>
      <c r="K15" s="24" t="str">
        <f>"60,0"</f>
        <v>60,0</v>
      </c>
      <c r="L15" s="26" t="str">
        <f>"40,9680"</f>
        <v>40,9680</v>
      </c>
      <c r="M15" s="24" t="s">
        <v>53</v>
      </c>
    </row>
    <row r="16" spans="1:13" ht="12.75">
      <c r="A16" s="21" t="s">
        <v>407</v>
      </c>
      <c r="B16" s="21" t="s">
        <v>408</v>
      </c>
      <c r="C16" s="21" t="s">
        <v>283</v>
      </c>
      <c r="D16" s="21" t="str">
        <f>"0,6789"</f>
        <v>0,6789</v>
      </c>
      <c r="E16" s="21" t="s">
        <v>16</v>
      </c>
      <c r="F16" s="21" t="s">
        <v>217</v>
      </c>
      <c r="G16" s="23" t="s">
        <v>394</v>
      </c>
      <c r="H16" s="23" t="s">
        <v>91</v>
      </c>
      <c r="I16" s="22" t="s">
        <v>18</v>
      </c>
      <c r="K16" s="21" t="str">
        <f>"57,5"</f>
        <v>57,5</v>
      </c>
      <c r="L16" s="23" t="str">
        <f>"39,0368"</f>
        <v>39,0368</v>
      </c>
      <c r="M16" s="21" t="s">
        <v>53</v>
      </c>
    </row>
    <row r="18" spans="1:12" ht="15">
      <c r="A18" s="58" t="s">
        <v>12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3" ht="12.75">
      <c r="A19" s="7" t="s">
        <v>410</v>
      </c>
      <c r="B19" s="7" t="s">
        <v>411</v>
      </c>
      <c r="C19" s="7" t="s">
        <v>412</v>
      </c>
      <c r="D19" s="7" t="str">
        <f>"0,6292"</f>
        <v>0,6292</v>
      </c>
      <c r="E19" s="7" t="s">
        <v>49</v>
      </c>
      <c r="F19" s="7" t="s">
        <v>17</v>
      </c>
      <c r="G19" s="9" t="s">
        <v>99</v>
      </c>
      <c r="H19" s="9" t="s">
        <v>405</v>
      </c>
      <c r="I19" s="9" t="s">
        <v>400</v>
      </c>
      <c r="J19" s="8"/>
      <c r="K19" s="7" t="str">
        <f>"65,0"</f>
        <v>65,0</v>
      </c>
      <c r="L19" s="9" t="str">
        <f>"40,9012"</f>
        <v>40,9012</v>
      </c>
      <c r="M19" s="7" t="s">
        <v>53</v>
      </c>
    </row>
    <row r="21" spans="1:12" ht="15">
      <c r="A21" s="58" t="s">
        <v>21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3" ht="12.75">
      <c r="A22" s="18" t="s">
        <v>414</v>
      </c>
      <c r="B22" s="18" t="s">
        <v>415</v>
      </c>
      <c r="C22" s="18" t="s">
        <v>416</v>
      </c>
      <c r="D22" s="18" t="str">
        <f>"0,5920"</f>
        <v>0,5920</v>
      </c>
      <c r="E22" s="18" t="s">
        <v>138</v>
      </c>
      <c r="F22" s="18" t="s">
        <v>17</v>
      </c>
      <c r="G22" s="20" t="s">
        <v>92</v>
      </c>
      <c r="H22" s="20" t="s">
        <v>400</v>
      </c>
      <c r="I22" s="20" t="s">
        <v>19</v>
      </c>
      <c r="J22" s="19"/>
      <c r="K22" s="18" t="str">
        <f>"67,5"</f>
        <v>67,5</v>
      </c>
      <c r="L22" s="20" t="str">
        <f>"39,9600"</f>
        <v>39,9600</v>
      </c>
      <c r="M22" s="18" t="s">
        <v>140</v>
      </c>
    </row>
    <row r="23" spans="1:13" ht="12.75">
      <c r="A23" s="21" t="s">
        <v>418</v>
      </c>
      <c r="B23" s="21" t="s">
        <v>419</v>
      </c>
      <c r="C23" s="21" t="s">
        <v>420</v>
      </c>
      <c r="D23" s="21" t="str">
        <f>"0,5956"</f>
        <v>0,5956</v>
      </c>
      <c r="E23" s="21" t="s">
        <v>326</v>
      </c>
      <c r="F23" s="21" t="s">
        <v>17</v>
      </c>
      <c r="G23" s="23" t="s">
        <v>92</v>
      </c>
      <c r="H23" s="22" t="s">
        <v>400</v>
      </c>
      <c r="I23" s="23" t="s">
        <v>400</v>
      </c>
      <c r="J23" s="22"/>
      <c r="K23" s="21" t="str">
        <f>"65,0"</f>
        <v>65,0</v>
      </c>
      <c r="L23" s="23" t="str">
        <f>"38,7140"</f>
        <v>38,7140</v>
      </c>
      <c r="M23" s="21" t="s">
        <v>329</v>
      </c>
    </row>
    <row r="25" spans="1:12" ht="15">
      <c r="A25" s="58" t="s">
        <v>38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3" ht="12.75">
      <c r="A26" s="18" t="s">
        <v>422</v>
      </c>
      <c r="B26" s="18" t="s">
        <v>423</v>
      </c>
      <c r="C26" s="18" t="s">
        <v>424</v>
      </c>
      <c r="D26" s="18" t="str">
        <f>"0,5389"</f>
        <v>0,5389</v>
      </c>
      <c r="E26" s="18" t="s">
        <v>107</v>
      </c>
      <c r="F26" s="18" t="s">
        <v>17</v>
      </c>
      <c r="G26" s="20" t="s">
        <v>425</v>
      </c>
      <c r="H26" s="20" t="s">
        <v>426</v>
      </c>
      <c r="I26" s="19" t="s">
        <v>427</v>
      </c>
      <c r="J26" s="19"/>
      <c r="K26" s="18" t="str">
        <f>"82,5"</f>
        <v>82,5</v>
      </c>
      <c r="L26" s="20" t="str">
        <f>"44,4593"</f>
        <v>44,4593</v>
      </c>
      <c r="M26" s="18" t="s">
        <v>116</v>
      </c>
    </row>
    <row r="27" spans="1:13" ht="12.75">
      <c r="A27" s="21" t="s">
        <v>428</v>
      </c>
      <c r="B27" s="21" t="s">
        <v>41</v>
      </c>
      <c r="C27" s="21" t="s">
        <v>42</v>
      </c>
      <c r="D27" s="21" t="str">
        <f>"0,5380"</f>
        <v>0,5380</v>
      </c>
      <c r="E27" s="21" t="s">
        <v>16</v>
      </c>
      <c r="F27" s="21" t="s">
        <v>17</v>
      </c>
      <c r="G27" s="23" t="s">
        <v>91</v>
      </c>
      <c r="H27" s="23" t="s">
        <v>92</v>
      </c>
      <c r="I27" s="22" t="s">
        <v>429</v>
      </c>
      <c r="J27" s="22"/>
      <c r="K27" s="21" t="str">
        <f>"62,5"</f>
        <v>62,5</v>
      </c>
      <c r="L27" s="23" t="str">
        <f>"33,6250"</f>
        <v>33,6250</v>
      </c>
      <c r="M27" s="21" t="s">
        <v>20</v>
      </c>
    </row>
    <row r="29" spans="1:12" ht="15">
      <c r="A29" s="58" t="s">
        <v>44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3" ht="12.75">
      <c r="A30" s="7" t="s">
        <v>46</v>
      </c>
      <c r="B30" s="7" t="s">
        <v>47</v>
      </c>
      <c r="C30" s="7" t="s">
        <v>48</v>
      </c>
      <c r="D30" s="7" t="str">
        <f>"0,5279"</f>
        <v>0,5279</v>
      </c>
      <c r="E30" s="7" t="s">
        <v>49</v>
      </c>
      <c r="F30" s="7" t="s">
        <v>17</v>
      </c>
      <c r="G30" s="9" t="s">
        <v>327</v>
      </c>
      <c r="H30" s="9" t="s">
        <v>427</v>
      </c>
      <c r="I30" s="9" t="s">
        <v>328</v>
      </c>
      <c r="J30" s="8"/>
      <c r="K30" s="7" t="str">
        <f>"90,0"</f>
        <v>90,0</v>
      </c>
      <c r="L30" s="9" t="str">
        <f>"47,5110"</f>
        <v>47,5110</v>
      </c>
      <c r="M30" s="7" t="s">
        <v>53</v>
      </c>
    </row>
    <row r="32" spans="1:12" ht="15">
      <c r="A32" s="58" t="s">
        <v>162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3" ht="12.75">
      <c r="A33" s="7" t="s">
        <v>240</v>
      </c>
      <c r="B33" s="7" t="s">
        <v>312</v>
      </c>
      <c r="C33" s="7" t="s">
        <v>242</v>
      </c>
      <c r="D33" s="7" t="str">
        <f>"0,5184"</f>
        <v>0,5184</v>
      </c>
      <c r="E33" s="7" t="s">
        <v>222</v>
      </c>
      <c r="F33" s="7" t="s">
        <v>17</v>
      </c>
      <c r="G33" s="9" t="s">
        <v>100</v>
      </c>
      <c r="H33" s="9" t="s">
        <v>18</v>
      </c>
      <c r="I33" s="9" t="s">
        <v>400</v>
      </c>
      <c r="J33" s="8"/>
      <c r="K33" s="7" t="str">
        <f>"65,0"</f>
        <v>65,0</v>
      </c>
      <c r="L33" s="9" t="str">
        <f>"34,0006"</f>
        <v>34,0006</v>
      </c>
      <c r="M33" s="7" t="s">
        <v>53</v>
      </c>
    </row>
    <row r="35" spans="5:6" ht="15">
      <c r="E35" s="10" t="s">
        <v>54</v>
      </c>
      <c r="F35" s="32" t="s">
        <v>525</v>
      </c>
    </row>
    <row r="36" spans="5:6" ht="15">
      <c r="E36" s="10" t="s">
        <v>55</v>
      </c>
      <c r="F36" s="32" t="s">
        <v>526</v>
      </c>
    </row>
    <row r="37" spans="5:6" ht="15">
      <c r="E37" s="10" t="s">
        <v>56</v>
      </c>
      <c r="F37" s="32" t="s">
        <v>527</v>
      </c>
    </row>
    <row r="38" spans="5:6" ht="15">
      <c r="E38" s="10" t="s">
        <v>57</v>
      </c>
      <c r="F38" s="32" t="s">
        <v>524</v>
      </c>
    </row>
    <row r="39" spans="5:6" ht="15">
      <c r="E39" s="10" t="s">
        <v>57</v>
      </c>
      <c r="F39" s="32" t="s">
        <v>567</v>
      </c>
    </row>
    <row r="40" ht="15">
      <c r="E40" s="10"/>
    </row>
    <row r="42" spans="1:2" ht="18">
      <c r="A42" s="11" t="s">
        <v>58</v>
      </c>
      <c r="B42" s="11"/>
    </row>
    <row r="43" spans="1:2" ht="15">
      <c r="A43" s="12" t="s">
        <v>66</v>
      </c>
      <c r="B43" s="12"/>
    </row>
    <row r="44" spans="1:2" ht="14.25">
      <c r="A44" s="14"/>
      <c r="B44" s="15" t="s">
        <v>59</v>
      </c>
    </row>
    <row r="45" spans="1:5" ht="15">
      <c r="A45" s="16" t="s">
        <v>60</v>
      </c>
      <c r="B45" s="16" t="s">
        <v>61</v>
      </c>
      <c r="C45" s="16" t="s">
        <v>62</v>
      </c>
      <c r="D45" s="16" t="s">
        <v>63</v>
      </c>
      <c r="E45" s="16" t="s">
        <v>64</v>
      </c>
    </row>
    <row r="46" spans="1:5" ht="12.75">
      <c r="A46" s="13" t="s">
        <v>375</v>
      </c>
      <c r="B46" s="4" t="s">
        <v>59</v>
      </c>
      <c r="C46" s="4" t="s">
        <v>430</v>
      </c>
      <c r="D46" s="4" t="s">
        <v>18</v>
      </c>
      <c r="E46" s="17" t="s">
        <v>431</v>
      </c>
    </row>
    <row r="47" spans="1:5" ht="12.75">
      <c r="A47" s="13" t="s">
        <v>45</v>
      </c>
      <c r="B47" s="4" t="s">
        <v>59</v>
      </c>
      <c r="C47" s="4" t="s">
        <v>67</v>
      </c>
      <c r="D47" s="4" t="s">
        <v>328</v>
      </c>
      <c r="E47" s="17" t="s">
        <v>432</v>
      </c>
    </row>
    <row r="48" spans="1:5" ht="12.75">
      <c r="A48" s="13" t="s">
        <v>421</v>
      </c>
      <c r="B48" s="4" t="s">
        <v>59</v>
      </c>
      <c r="C48" s="4" t="s">
        <v>73</v>
      </c>
      <c r="D48" s="4" t="s">
        <v>426</v>
      </c>
      <c r="E48" s="17" t="s">
        <v>433</v>
      </c>
    </row>
    <row r="49" spans="1:5" ht="12.75">
      <c r="A49" s="13" t="s">
        <v>395</v>
      </c>
      <c r="B49" s="4" t="s">
        <v>59</v>
      </c>
      <c r="C49" s="4" t="s">
        <v>169</v>
      </c>
      <c r="D49" s="4" t="s">
        <v>400</v>
      </c>
      <c r="E49" s="17" t="s">
        <v>434</v>
      </c>
    </row>
    <row r="50" spans="1:5" ht="12.75">
      <c r="A50" s="13" t="s">
        <v>380</v>
      </c>
      <c r="B50" s="4" t="s">
        <v>59</v>
      </c>
      <c r="C50" s="4" t="s">
        <v>430</v>
      </c>
      <c r="D50" s="4" t="s">
        <v>100</v>
      </c>
      <c r="E50" s="17" t="s">
        <v>435</v>
      </c>
    </row>
    <row r="51" spans="1:5" ht="12.75">
      <c r="A51" s="13" t="s">
        <v>401</v>
      </c>
      <c r="B51" s="4" t="s">
        <v>59</v>
      </c>
      <c r="C51" s="4" t="s">
        <v>169</v>
      </c>
      <c r="D51" s="4" t="s">
        <v>18</v>
      </c>
      <c r="E51" s="17" t="s">
        <v>436</v>
      </c>
    </row>
    <row r="52" spans="1:5" ht="12.75">
      <c r="A52" s="13" t="s">
        <v>409</v>
      </c>
      <c r="B52" s="4" t="s">
        <v>59</v>
      </c>
      <c r="C52" s="4" t="s">
        <v>65</v>
      </c>
      <c r="D52" s="4" t="s">
        <v>400</v>
      </c>
      <c r="E52" s="17" t="s">
        <v>437</v>
      </c>
    </row>
    <row r="53" spans="1:5" ht="12.75">
      <c r="A53" s="13" t="s">
        <v>413</v>
      </c>
      <c r="B53" s="4" t="s">
        <v>59</v>
      </c>
      <c r="C53" s="4" t="s">
        <v>69</v>
      </c>
      <c r="D53" s="4" t="s">
        <v>19</v>
      </c>
      <c r="E53" s="17" t="s">
        <v>438</v>
      </c>
    </row>
    <row r="54" spans="1:5" ht="12.75">
      <c r="A54" s="13" t="s">
        <v>406</v>
      </c>
      <c r="B54" s="4" t="s">
        <v>59</v>
      </c>
      <c r="C54" s="4" t="s">
        <v>169</v>
      </c>
      <c r="D54" s="4" t="s">
        <v>91</v>
      </c>
      <c r="E54" s="17" t="s">
        <v>439</v>
      </c>
    </row>
    <row r="55" spans="1:5" ht="12.75">
      <c r="A55" s="13" t="s">
        <v>417</v>
      </c>
      <c r="B55" s="4" t="s">
        <v>59</v>
      </c>
      <c r="C55" s="4" t="s">
        <v>69</v>
      </c>
      <c r="D55" s="4" t="s">
        <v>400</v>
      </c>
      <c r="E55" s="17" t="s">
        <v>440</v>
      </c>
    </row>
    <row r="56" spans="1:5" ht="12.75">
      <c r="A56" s="13" t="s">
        <v>385</v>
      </c>
      <c r="B56" s="4" t="s">
        <v>59</v>
      </c>
      <c r="C56" s="4" t="s">
        <v>313</v>
      </c>
      <c r="D56" s="4" t="s">
        <v>100</v>
      </c>
      <c r="E56" s="17" t="s">
        <v>441</v>
      </c>
    </row>
    <row r="57" spans="1:5" ht="12.75">
      <c r="A57" s="13" t="s">
        <v>390</v>
      </c>
      <c r="B57" s="4" t="s">
        <v>59</v>
      </c>
      <c r="C57" s="4" t="s">
        <v>313</v>
      </c>
      <c r="D57" s="4" t="s">
        <v>384</v>
      </c>
      <c r="E57" s="17" t="s">
        <v>442</v>
      </c>
    </row>
    <row r="58" spans="1:5" ht="12.75">
      <c r="A58" s="13" t="s">
        <v>39</v>
      </c>
      <c r="B58" s="4" t="s">
        <v>59</v>
      </c>
      <c r="C58" s="4" t="s">
        <v>73</v>
      </c>
      <c r="D58" s="4" t="s">
        <v>92</v>
      </c>
      <c r="E58" s="17" t="s">
        <v>443</v>
      </c>
    </row>
  </sheetData>
  <sheetProtection/>
  <mergeCells count="19">
    <mergeCell ref="A18:L18"/>
    <mergeCell ref="A21:L21"/>
    <mergeCell ref="A25:L25"/>
    <mergeCell ref="A29:L29"/>
    <mergeCell ref="A32:L32"/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2">
      <selection activeCell="E14" sqref="E14:F18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2.625" style="4" customWidth="1"/>
    <col min="4" max="4" width="8.875" style="4" bestFit="1" customWidth="1"/>
    <col min="5" max="5" width="21.87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5" width="7.625" style="4" bestFit="1" customWidth="1"/>
    <col min="16" max="16" width="8.625" style="3" bestFit="1" customWidth="1"/>
    <col min="17" max="17" width="16.125" style="4" bestFit="1" customWidth="1"/>
    <col min="18" max="16384" width="9.125" style="3" customWidth="1"/>
  </cols>
  <sheetData>
    <row r="1" spans="1:17" s="2" customFormat="1" ht="28.5" customHeight="1">
      <c r="A1" s="43" t="s">
        <v>347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11</v>
      </c>
      <c r="H3" s="55"/>
      <c r="I3" s="55"/>
      <c r="J3" s="55"/>
      <c r="K3" s="55" t="s">
        <v>255</v>
      </c>
      <c r="L3" s="55"/>
      <c r="M3" s="55"/>
      <c r="N3" s="55"/>
      <c r="O3" s="55" t="s">
        <v>1</v>
      </c>
      <c r="P3" s="55" t="s">
        <v>3</v>
      </c>
      <c r="Q3" s="39" t="s">
        <v>2</v>
      </c>
    </row>
    <row r="4" spans="1:17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2"/>
      <c r="P4" s="52"/>
      <c r="Q4" s="40"/>
    </row>
    <row r="5" spans="1:16" ht="15">
      <c r="A5" s="41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 ht="12.75">
      <c r="A6" s="7" t="s">
        <v>349</v>
      </c>
      <c r="B6" s="7" t="s">
        <v>350</v>
      </c>
      <c r="C6" s="7" t="s">
        <v>351</v>
      </c>
      <c r="D6" s="7" t="str">
        <f>"0,6233"</f>
        <v>0,6233</v>
      </c>
      <c r="E6" s="7" t="s">
        <v>216</v>
      </c>
      <c r="F6" s="7" t="s">
        <v>217</v>
      </c>
      <c r="G6" s="9" t="s">
        <v>81</v>
      </c>
      <c r="H6" s="9" t="s">
        <v>83</v>
      </c>
      <c r="I6" s="8" t="s">
        <v>156</v>
      </c>
      <c r="J6" s="8"/>
      <c r="K6" s="9" t="s">
        <v>194</v>
      </c>
      <c r="L6" s="8" t="s">
        <v>238</v>
      </c>
      <c r="M6" s="8"/>
      <c r="N6" s="8"/>
      <c r="O6" s="7" t="str">
        <f>"360,0"</f>
        <v>360,0</v>
      </c>
      <c r="P6" s="9" t="str">
        <f>"224,3700"</f>
        <v>224,3700</v>
      </c>
      <c r="Q6" s="7" t="s">
        <v>218</v>
      </c>
    </row>
    <row r="8" spans="1:16" ht="15">
      <c r="A8" s="58" t="s">
        <v>32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7" ht="12.75">
      <c r="A9" s="7" t="s">
        <v>353</v>
      </c>
      <c r="B9" s="7" t="s">
        <v>354</v>
      </c>
      <c r="C9" s="7" t="s">
        <v>355</v>
      </c>
      <c r="D9" s="7" t="str">
        <f>"0,5586"</f>
        <v>0,5586</v>
      </c>
      <c r="E9" s="7" t="s">
        <v>123</v>
      </c>
      <c r="F9" s="7" t="s">
        <v>17</v>
      </c>
      <c r="G9" s="9" t="s">
        <v>128</v>
      </c>
      <c r="H9" s="9" t="s">
        <v>50</v>
      </c>
      <c r="I9" s="8" t="s">
        <v>51</v>
      </c>
      <c r="J9" s="8"/>
      <c r="K9" s="9" t="s">
        <v>260</v>
      </c>
      <c r="L9" s="8" t="s">
        <v>356</v>
      </c>
      <c r="M9" s="8" t="s">
        <v>356</v>
      </c>
      <c r="N9" s="8"/>
      <c r="O9" s="7" t="str">
        <f>"430,0"</f>
        <v>430,0</v>
      </c>
      <c r="P9" s="9" t="str">
        <f>"240,1980"</f>
        <v>240,1980</v>
      </c>
      <c r="Q9" s="7" t="s">
        <v>357</v>
      </c>
    </row>
    <row r="11" spans="1:16" ht="15">
      <c r="A11" s="58" t="s">
        <v>38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7" ht="12.75">
      <c r="A12" s="7" t="s">
        <v>359</v>
      </c>
      <c r="B12" s="7" t="s">
        <v>360</v>
      </c>
      <c r="C12" s="7" t="s">
        <v>183</v>
      </c>
      <c r="D12" s="7" t="str">
        <f>"0,5366"</f>
        <v>0,5366</v>
      </c>
      <c r="E12" s="7" t="s">
        <v>361</v>
      </c>
      <c r="F12" s="7" t="s">
        <v>362</v>
      </c>
      <c r="G12" s="9" t="s">
        <v>167</v>
      </c>
      <c r="H12" s="9" t="s">
        <v>192</v>
      </c>
      <c r="I12" s="8" t="s">
        <v>193</v>
      </c>
      <c r="J12" s="8"/>
      <c r="K12" s="9" t="s">
        <v>363</v>
      </c>
      <c r="L12" s="9" t="s">
        <v>364</v>
      </c>
      <c r="M12" s="8" t="s">
        <v>365</v>
      </c>
      <c r="N12" s="8"/>
      <c r="O12" s="7" t="str">
        <f>"520,0"</f>
        <v>520,0</v>
      </c>
      <c r="P12" s="9" t="str">
        <f>"279,0320"</f>
        <v>279,0320</v>
      </c>
      <c r="Q12" s="7" t="s">
        <v>53</v>
      </c>
    </row>
    <row r="14" spans="5:6" ht="15">
      <c r="E14" s="10" t="s">
        <v>54</v>
      </c>
      <c r="F14" s="32" t="s">
        <v>525</v>
      </c>
    </row>
    <row r="15" spans="5:6" ht="15">
      <c r="E15" s="10" t="s">
        <v>55</v>
      </c>
      <c r="F15" s="32" t="s">
        <v>526</v>
      </c>
    </row>
    <row r="16" spans="5:6" ht="15">
      <c r="E16" s="10" t="s">
        <v>56</v>
      </c>
      <c r="F16" s="32" t="s">
        <v>524</v>
      </c>
    </row>
    <row r="17" spans="5:6" ht="15">
      <c r="E17" s="10" t="s">
        <v>57</v>
      </c>
      <c r="F17" s="32" t="s">
        <v>567</v>
      </c>
    </row>
    <row r="18" spans="5:6" ht="15">
      <c r="E18" s="10" t="s">
        <v>57</v>
      </c>
      <c r="F18" s="32" t="s">
        <v>527</v>
      </c>
    </row>
    <row r="19" ht="15">
      <c r="E19" s="10"/>
    </row>
    <row r="21" spans="1:2" ht="18">
      <c r="A21" s="11" t="s">
        <v>58</v>
      </c>
      <c r="B21" s="11"/>
    </row>
    <row r="22" spans="1:2" ht="15">
      <c r="A22" s="12" t="s">
        <v>66</v>
      </c>
      <c r="B22" s="12"/>
    </row>
    <row r="23" spans="1:2" ht="14.25">
      <c r="A23" s="14"/>
      <c r="B23" s="15" t="s">
        <v>59</v>
      </c>
    </row>
    <row r="24" spans="1:5" ht="15">
      <c r="A24" s="16" t="s">
        <v>60</v>
      </c>
      <c r="B24" s="16" t="s">
        <v>61</v>
      </c>
      <c r="C24" s="16" t="s">
        <v>62</v>
      </c>
      <c r="D24" s="16" t="s">
        <v>63</v>
      </c>
      <c r="E24" s="16" t="s">
        <v>64</v>
      </c>
    </row>
    <row r="25" spans="1:5" ht="12.75">
      <c r="A25" s="13" t="s">
        <v>358</v>
      </c>
      <c r="B25" s="4" t="s">
        <v>59</v>
      </c>
      <c r="C25" s="4" t="s">
        <v>73</v>
      </c>
      <c r="D25" s="4" t="s">
        <v>366</v>
      </c>
      <c r="E25" s="17" t="s">
        <v>367</v>
      </c>
    </row>
    <row r="26" spans="1:5" ht="12.75">
      <c r="A26" s="13" t="s">
        <v>352</v>
      </c>
      <c r="B26" s="4" t="s">
        <v>59</v>
      </c>
      <c r="C26" s="4" t="s">
        <v>71</v>
      </c>
      <c r="D26" s="4" t="s">
        <v>368</v>
      </c>
      <c r="E26" s="17" t="s">
        <v>369</v>
      </c>
    </row>
    <row r="27" spans="1:5" ht="12.75">
      <c r="A27" s="13" t="s">
        <v>348</v>
      </c>
      <c r="B27" s="4" t="s">
        <v>59</v>
      </c>
      <c r="C27" s="4" t="s">
        <v>65</v>
      </c>
      <c r="D27" s="4" t="s">
        <v>370</v>
      </c>
      <c r="E27" s="17" t="s">
        <v>371</v>
      </c>
    </row>
  </sheetData>
  <sheetProtection/>
  <mergeCells count="15"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E11" sqref="E11:F15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2.375" style="4" customWidth="1"/>
    <col min="4" max="4" width="8.875" style="4" bestFit="1" customWidth="1"/>
    <col min="5" max="5" width="21.875" style="4" bestFit="1" customWidth="1"/>
    <col min="6" max="6" width="30.12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5" width="7.625" style="4" bestFit="1" customWidth="1"/>
    <col min="16" max="16" width="8.625" style="3" bestFit="1" customWidth="1"/>
    <col min="17" max="17" width="16.125" style="4" bestFit="1" customWidth="1"/>
    <col min="18" max="16384" width="9.125" style="3" customWidth="1"/>
  </cols>
  <sheetData>
    <row r="1" spans="1:17" s="2" customFormat="1" ht="28.5" customHeight="1">
      <c r="A1" s="43" t="s">
        <v>335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11</v>
      </c>
      <c r="H3" s="55"/>
      <c r="I3" s="55"/>
      <c r="J3" s="55"/>
      <c r="K3" s="55" t="s">
        <v>255</v>
      </c>
      <c r="L3" s="55"/>
      <c r="M3" s="55"/>
      <c r="N3" s="55"/>
      <c r="O3" s="55" t="s">
        <v>1</v>
      </c>
      <c r="P3" s="55" t="s">
        <v>3</v>
      </c>
      <c r="Q3" s="39" t="s">
        <v>2</v>
      </c>
    </row>
    <row r="4" spans="1:17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2"/>
      <c r="P4" s="52"/>
      <c r="Q4" s="40"/>
    </row>
    <row r="5" spans="1:16" ht="15">
      <c r="A5" s="41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 ht="12.75">
      <c r="A6" s="7" t="s">
        <v>336</v>
      </c>
      <c r="B6" s="7" t="s">
        <v>337</v>
      </c>
      <c r="C6" s="7" t="s">
        <v>338</v>
      </c>
      <c r="D6" s="7" t="str">
        <f>"0,6241"</f>
        <v>0,6241</v>
      </c>
      <c r="E6" s="7" t="s">
        <v>16</v>
      </c>
      <c r="F6" s="7" t="s">
        <v>339</v>
      </c>
      <c r="G6" s="8" t="s">
        <v>30</v>
      </c>
      <c r="H6" s="9" t="s">
        <v>43</v>
      </c>
      <c r="I6" s="8" t="s">
        <v>81</v>
      </c>
      <c r="J6" s="8"/>
      <c r="K6" s="9" t="s">
        <v>224</v>
      </c>
      <c r="L6" s="9" t="s">
        <v>340</v>
      </c>
      <c r="M6" s="8" t="s">
        <v>197</v>
      </c>
      <c r="N6" s="8"/>
      <c r="O6" s="7" t="str">
        <f>"317,5"</f>
        <v>317,5</v>
      </c>
      <c r="P6" s="9" t="str">
        <f>"198,1518"</f>
        <v>198,1518</v>
      </c>
      <c r="Q6" s="7" t="s">
        <v>53</v>
      </c>
    </row>
    <row r="8" spans="1:16" ht="15">
      <c r="A8" s="58" t="s">
        <v>32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7" ht="12.75">
      <c r="A9" s="7" t="s">
        <v>341</v>
      </c>
      <c r="B9" s="7" t="s">
        <v>342</v>
      </c>
      <c r="C9" s="7" t="s">
        <v>343</v>
      </c>
      <c r="D9" s="7" t="str">
        <f>"0,5619"</f>
        <v>0,5619</v>
      </c>
      <c r="E9" s="7" t="s">
        <v>333</v>
      </c>
      <c r="F9" s="7" t="s">
        <v>344</v>
      </c>
      <c r="G9" s="9" t="s">
        <v>83</v>
      </c>
      <c r="H9" s="9" t="s">
        <v>128</v>
      </c>
      <c r="I9" s="8" t="s">
        <v>50</v>
      </c>
      <c r="J9" s="8"/>
      <c r="K9" s="9" t="s">
        <v>345</v>
      </c>
      <c r="L9" s="8"/>
      <c r="M9" s="8"/>
      <c r="N9" s="8"/>
      <c r="O9" s="7" t="str">
        <f>"180,0"</f>
        <v>180,0</v>
      </c>
      <c r="P9" s="9" t="str">
        <f>"101,1420"</f>
        <v>101,1420</v>
      </c>
      <c r="Q9" s="7" t="s">
        <v>346</v>
      </c>
    </row>
    <row r="11" spans="5:6" ht="15">
      <c r="E11" s="10" t="s">
        <v>54</v>
      </c>
      <c r="F11" s="32" t="s">
        <v>525</v>
      </c>
    </row>
    <row r="12" spans="5:6" ht="15">
      <c r="E12" s="10" t="s">
        <v>55</v>
      </c>
      <c r="F12" s="32" t="s">
        <v>526</v>
      </c>
    </row>
    <row r="13" spans="5:6" ht="15">
      <c r="E13" s="10" t="s">
        <v>56</v>
      </c>
      <c r="F13" s="32" t="s">
        <v>524</v>
      </c>
    </row>
    <row r="14" spans="5:6" ht="15">
      <c r="E14" s="10" t="s">
        <v>57</v>
      </c>
      <c r="F14" s="32" t="s">
        <v>567</v>
      </c>
    </row>
    <row r="15" spans="5:6" ht="15">
      <c r="E15" s="10" t="s">
        <v>57</v>
      </c>
      <c r="F15" s="32" t="s">
        <v>527</v>
      </c>
    </row>
    <row r="16" ht="15">
      <c r="E16" s="10"/>
    </row>
    <row r="17" ht="15">
      <c r="E17" s="10"/>
    </row>
  </sheetData>
  <sheetProtection/>
  <mergeCells count="14"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11" sqref="E11:F15"/>
    </sheetView>
  </sheetViews>
  <sheetFormatPr defaultColWidth="9.125" defaultRowHeight="12.75"/>
  <cols>
    <col min="1" max="1" width="24.625" style="4" bestFit="1" customWidth="1"/>
    <col min="2" max="2" width="28.875" style="4" bestFit="1" customWidth="1"/>
    <col min="3" max="3" width="11.875" style="4" customWidth="1"/>
    <col min="4" max="4" width="8.875" style="4" bestFit="1" customWidth="1"/>
    <col min="5" max="5" width="21.875" style="4" bestFit="1" customWidth="1"/>
    <col min="6" max="6" width="34.00390625" style="4" bestFit="1" customWidth="1"/>
    <col min="7" max="8" width="5.625" style="3" bestFit="1" customWidth="1"/>
    <col min="9" max="10" width="4.625" style="3" bestFit="1" customWidth="1"/>
    <col min="11" max="11" width="11.375" style="4" bestFit="1" customWidth="1"/>
    <col min="12" max="12" width="7.625" style="3" bestFit="1" customWidth="1"/>
    <col min="13" max="13" width="12.00390625" style="4" bestFit="1" customWidth="1"/>
    <col min="14" max="16384" width="9.125" style="3" customWidth="1"/>
  </cols>
  <sheetData>
    <row r="1" spans="1:13" s="2" customFormat="1" ht="28.5" customHeight="1">
      <c r="A1" s="43" t="s">
        <v>322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255</v>
      </c>
      <c r="H3" s="55"/>
      <c r="I3" s="55"/>
      <c r="J3" s="55"/>
      <c r="K3" s="55" t="s">
        <v>75</v>
      </c>
      <c r="L3" s="55" t="s">
        <v>3</v>
      </c>
      <c r="M3" s="39" t="s">
        <v>2</v>
      </c>
    </row>
    <row r="4" spans="1:13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2"/>
      <c r="L4" s="52"/>
      <c r="M4" s="40"/>
    </row>
    <row r="5" spans="1:12" ht="15">
      <c r="A5" s="41" t="s">
        <v>102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7" t="s">
        <v>323</v>
      </c>
      <c r="B6" s="7" t="s">
        <v>324</v>
      </c>
      <c r="C6" s="7" t="s">
        <v>325</v>
      </c>
      <c r="D6" s="7" t="str">
        <f>"0,7315"</f>
        <v>0,7315</v>
      </c>
      <c r="E6" s="7" t="s">
        <v>326</v>
      </c>
      <c r="F6" s="7" t="s">
        <v>17</v>
      </c>
      <c r="G6" s="9" t="s">
        <v>327</v>
      </c>
      <c r="H6" s="8" t="s">
        <v>328</v>
      </c>
      <c r="I6" s="8" t="s">
        <v>328</v>
      </c>
      <c r="J6" s="8"/>
      <c r="K6" s="7" t="str">
        <f>"80,0"</f>
        <v>80,0</v>
      </c>
      <c r="L6" s="9" t="str">
        <f>"60,2756"</f>
        <v>60,2756</v>
      </c>
      <c r="M6" s="7" t="s">
        <v>329</v>
      </c>
    </row>
    <row r="8" spans="1:12" ht="15">
      <c r="A8" s="58" t="s">
        <v>102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7" t="s">
        <v>330</v>
      </c>
      <c r="B9" s="7" t="s">
        <v>331</v>
      </c>
      <c r="C9" s="7" t="s">
        <v>332</v>
      </c>
      <c r="D9" s="7" t="str">
        <f>"0,6886"</f>
        <v>0,6886</v>
      </c>
      <c r="E9" s="7" t="s">
        <v>333</v>
      </c>
      <c r="F9" s="7" t="s">
        <v>17</v>
      </c>
      <c r="G9" s="8" t="s">
        <v>146</v>
      </c>
      <c r="H9" s="8" t="s">
        <v>146</v>
      </c>
      <c r="I9" s="8"/>
      <c r="J9" s="8"/>
      <c r="K9" s="7" t="str">
        <f>"0.00"</f>
        <v>0.00</v>
      </c>
      <c r="L9" s="9" t="str">
        <f>"0,0000"</f>
        <v>0,0000</v>
      </c>
      <c r="M9" s="7" t="s">
        <v>334</v>
      </c>
    </row>
    <row r="11" spans="5:6" ht="15">
      <c r="E11" s="10" t="s">
        <v>54</v>
      </c>
      <c r="F11" s="32" t="s">
        <v>525</v>
      </c>
    </row>
    <row r="12" spans="5:6" ht="15">
      <c r="E12" s="10" t="s">
        <v>55</v>
      </c>
      <c r="F12" s="32" t="s">
        <v>526</v>
      </c>
    </row>
    <row r="13" spans="5:6" ht="15">
      <c r="E13" s="10" t="s">
        <v>56</v>
      </c>
      <c r="F13" s="32" t="s">
        <v>524</v>
      </c>
    </row>
    <row r="14" spans="5:6" ht="15">
      <c r="E14" s="10" t="s">
        <v>57</v>
      </c>
      <c r="F14" s="32" t="s">
        <v>567</v>
      </c>
    </row>
    <row r="15" spans="5:6" ht="15">
      <c r="E15" s="10" t="s">
        <v>57</v>
      </c>
      <c r="F15" s="32" t="s">
        <v>527</v>
      </c>
    </row>
    <row r="16" ht="15">
      <c r="E16" s="10"/>
    </row>
    <row r="17" ht="15">
      <c r="E17" s="10"/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7">
      <selection activeCell="E30" sqref="E30:F34"/>
    </sheetView>
  </sheetViews>
  <sheetFormatPr defaultColWidth="9.125" defaultRowHeight="12.75"/>
  <cols>
    <col min="1" max="1" width="24.625" style="4" bestFit="1" customWidth="1"/>
    <col min="2" max="2" width="28.625" style="4" bestFit="1" customWidth="1"/>
    <col min="3" max="3" width="12.125" style="4" customWidth="1"/>
    <col min="4" max="4" width="8.875" style="4" bestFit="1" customWidth="1"/>
    <col min="5" max="5" width="21.87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10.1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43" t="s">
        <v>271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255</v>
      </c>
      <c r="H3" s="55"/>
      <c r="I3" s="55"/>
      <c r="J3" s="55"/>
      <c r="K3" s="60" t="s">
        <v>75</v>
      </c>
      <c r="L3" s="55" t="s">
        <v>3</v>
      </c>
      <c r="M3" s="39" t="s">
        <v>2</v>
      </c>
    </row>
    <row r="4" spans="1:13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7"/>
      <c r="L4" s="52"/>
      <c r="M4" s="40"/>
    </row>
    <row r="5" spans="1:12" ht="15">
      <c r="A5" s="41" t="s">
        <v>272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7" t="s">
        <v>273</v>
      </c>
      <c r="B6" s="7" t="s">
        <v>274</v>
      </c>
      <c r="C6" s="7" t="s">
        <v>275</v>
      </c>
      <c r="D6" s="7" t="str">
        <f>"0,9147"</f>
        <v>0,9147</v>
      </c>
      <c r="E6" s="7" t="s">
        <v>138</v>
      </c>
      <c r="F6" s="7" t="s">
        <v>17</v>
      </c>
      <c r="G6" s="9" t="s">
        <v>29</v>
      </c>
      <c r="H6" s="9" t="s">
        <v>43</v>
      </c>
      <c r="I6" s="9" t="s">
        <v>82</v>
      </c>
      <c r="J6" s="8"/>
      <c r="K6" s="7" t="str">
        <f>"145,0"</f>
        <v>145,0</v>
      </c>
      <c r="L6" s="9" t="str">
        <f>"132,6243"</f>
        <v>132,6243</v>
      </c>
      <c r="M6" s="7" t="s">
        <v>140</v>
      </c>
    </row>
    <row r="8" spans="1:12" ht="15">
      <c r="A8" s="58" t="s">
        <v>276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7" t="s">
        <v>277</v>
      </c>
      <c r="B9" s="7" t="s">
        <v>278</v>
      </c>
      <c r="C9" s="7" t="s">
        <v>279</v>
      </c>
      <c r="D9" s="7" t="str">
        <f>"0,7625"</f>
        <v>0,7625</v>
      </c>
      <c r="E9" s="7" t="s">
        <v>97</v>
      </c>
      <c r="F9" s="7" t="s">
        <v>98</v>
      </c>
      <c r="G9" s="9" t="s">
        <v>124</v>
      </c>
      <c r="H9" s="9" t="s">
        <v>28</v>
      </c>
      <c r="I9" s="8" t="s">
        <v>43</v>
      </c>
      <c r="J9" s="8"/>
      <c r="K9" s="7" t="str">
        <f>"120,0"</f>
        <v>120,0</v>
      </c>
      <c r="L9" s="9" t="str">
        <f>"107,9700"</f>
        <v>107,9700</v>
      </c>
      <c r="M9" s="7" t="s">
        <v>101</v>
      </c>
    </row>
    <row r="11" spans="1:12" ht="15">
      <c r="A11" s="58" t="s">
        <v>102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2.75">
      <c r="A12" s="18" t="s">
        <v>281</v>
      </c>
      <c r="B12" s="18" t="s">
        <v>282</v>
      </c>
      <c r="C12" s="18" t="s">
        <v>283</v>
      </c>
      <c r="D12" s="18" t="str">
        <f>"0,6789"</f>
        <v>0,6789</v>
      </c>
      <c r="E12" s="18" t="s">
        <v>123</v>
      </c>
      <c r="F12" s="18" t="s">
        <v>17</v>
      </c>
      <c r="G12" s="20" t="s">
        <v>203</v>
      </c>
      <c r="H12" s="20" t="s">
        <v>193</v>
      </c>
      <c r="I12" s="19" t="s">
        <v>194</v>
      </c>
      <c r="J12" s="19"/>
      <c r="K12" s="18" t="str">
        <f>"205,0"</f>
        <v>205,0</v>
      </c>
      <c r="L12" s="20" t="str">
        <f>"139,1745"</f>
        <v>139,1745</v>
      </c>
      <c r="M12" s="18" t="s">
        <v>161</v>
      </c>
    </row>
    <row r="13" spans="1:13" ht="12.75">
      <c r="A13" s="21" t="s">
        <v>285</v>
      </c>
      <c r="B13" s="21" t="s">
        <v>286</v>
      </c>
      <c r="C13" s="21" t="s">
        <v>287</v>
      </c>
      <c r="D13" s="21" t="str">
        <f>"0,6666"</f>
        <v>0,6666</v>
      </c>
      <c r="E13" s="21" t="s">
        <v>16</v>
      </c>
      <c r="F13" s="21" t="s">
        <v>288</v>
      </c>
      <c r="G13" s="23" t="s">
        <v>252</v>
      </c>
      <c r="H13" s="22" t="s">
        <v>193</v>
      </c>
      <c r="I13" s="22"/>
      <c r="J13" s="22"/>
      <c r="K13" s="21" t="str">
        <f>"195,0"</f>
        <v>195,0</v>
      </c>
      <c r="L13" s="23" t="str">
        <f>"129,9870"</f>
        <v>129,9870</v>
      </c>
      <c r="M13" s="21" t="s">
        <v>53</v>
      </c>
    </row>
    <row r="15" spans="1:12" ht="15">
      <c r="A15" s="58" t="s">
        <v>12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3" ht="12.75">
      <c r="A16" s="7" t="s">
        <v>290</v>
      </c>
      <c r="B16" s="7" t="s">
        <v>291</v>
      </c>
      <c r="C16" s="7" t="s">
        <v>292</v>
      </c>
      <c r="D16" s="7" t="str">
        <f>"0,6335"</f>
        <v>0,6335</v>
      </c>
      <c r="E16" s="7" t="s">
        <v>293</v>
      </c>
      <c r="F16" s="7" t="s">
        <v>90</v>
      </c>
      <c r="G16" s="9" t="s">
        <v>253</v>
      </c>
      <c r="H16" s="9" t="s">
        <v>294</v>
      </c>
      <c r="I16" s="9" t="s">
        <v>184</v>
      </c>
      <c r="J16" s="8"/>
      <c r="K16" s="7" t="str">
        <f>"220,0"</f>
        <v>220,0</v>
      </c>
      <c r="L16" s="9" t="str">
        <f>"139,3700"</f>
        <v>139,3700</v>
      </c>
      <c r="M16" s="7" t="s">
        <v>295</v>
      </c>
    </row>
    <row r="18" spans="1:12" ht="15">
      <c r="A18" s="58" t="s">
        <v>21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3" ht="12.75">
      <c r="A19" s="18" t="s">
        <v>297</v>
      </c>
      <c r="B19" s="18" t="s">
        <v>298</v>
      </c>
      <c r="C19" s="18" t="s">
        <v>299</v>
      </c>
      <c r="D19" s="18" t="str">
        <f>"0,5897"</f>
        <v>0,5897</v>
      </c>
      <c r="E19" s="18" t="s">
        <v>107</v>
      </c>
      <c r="F19" s="18" t="s">
        <v>17</v>
      </c>
      <c r="G19" s="20" t="s">
        <v>185</v>
      </c>
      <c r="H19" s="20" t="s">
        <v>300</v>
      </c>
      <c r="I19" s="19" t="s">
        <v>301</v>
      </c>
      <c r="J19" s="19"/>
      <c r="K19" s="18" t="str">
        <f>"250,0"</f>
        <v>250,0</v>
      </c>
      <c r="L19" s="20" t="str">
        <f>"147,4250"</f>
        <v>147,4250</v>
      </c>
      <c r="M19" s="18" t="s">
        <v>116</v>
      </c>
    </row>
    <row r="20" spans="1:13" ht="12.75">
      <c r="A20" s="24" t="s">
        <v>302</v>
      </c>
      <c r="B20" s="24" t="s">
        <v>227</v>
      </c>
      <c r="C20" s="24" t="s">
        <v>228</v>
      </c>
      <c r="D20" s="24" t="str">
        <f>"0,5947"</f>
        <v>0,5947</v>
      </c>
      <c r="E20" s="24" t="s">
        <v>26</v>
      </c>
      <c r="F20" s="24" t="s">
        <v>27</v>
      </c>
      <c r="G20" s="26" t="s">
        <v>238</v>
      </c>
      <c r="H20" s="26" t="s">
        <v>265</v>
      </c>
      <c r="I20" s="26" t="s">
        <v>185</v>
      </c>
      <c r="J20" s="25"/>
      <c r="K20" s="24" t="str">
        <f>"230,0"</f>
        <v>230,0</v>
      </c>
      <c r="L20" s="26" t="str">
        <f>"136,7810"</f>
        <v>136,7810</v>
      </c>
      <c r="M20" s="24" t="s">
        <v>31</v>
      </c>
    </row>
    <row r="21" spans="1:13" ht="12.75">
      <c r="A21" s="24" t="s">
        <v>303</v>
      </c>
      <c r="B21" s="24" t="s">
        <v>24</v>
      </c>
      <c r="C21" s="24" t="s">
        <v>25</v>
      </c>
      <c r="D21" s="24" t="str">
        <f>"0,6074"</f>
        <v>0,6074</v>
      </c>
      <c r="E21" s="24" t="s">
        <v>26</v>
      </c>
      <c r="F21" s="24" t="s">
        <v>27</v>
      </c>
      <c r="G21" s="26" t="s">
        <v>197</v>
      </c>
      <c r="H21" s="26" t="s">
        <v>192</v>
      </c>
      <c r="I21" s="26" t="s">
        <v>194</v>
      </c>
      <c r="J21" s="25"/>
      <c r="K21" s="24" t="str">
        <f>"210,0"</f>
        <v>210,0</v>
      </c>
      <c r="L21" s="26" t="str">
        <f>"127,5540"</f>
        <v>127,5540</v>
      </c>
      <c r="M21" s="24" t="s">
        <v>31</v>
      </c>
    </row>
    <row r="22" spans="1:13" ht="12.75">
      <c r="A22" s="21" t="s">
        <v>305</v>
      </c>
      <c r="B22" s="21" t="s">
        <v>306</v>
      </c>
      <c r="C22" s="21" t="s">
        <v>307</v>
      </c>
      <c r="D22" s="21" t="str">
        <f>"0,5969"</f>
        <v>0,5969</v>
      </c>
      <c r="E22" s="21" t="s">
        <v>16</v>
      </c>
      <c r="F22" s="21" t="s">
        <v>17</v>
      </c>
      <c r="G22" s="22" t="s">
        <v>52</v>
      </c>
      <c r="H22" s="23" t="s">
        <v>52</v>
      </c>
      <c r="I22" s="23" t="s">
        <v>192</v>
      </c>
      <c r="J22" s="22"/>
      <c r="K22" s="21" t="str">
        <f>"200,0"</f>
        <v>200,0</v>
      </c>
      <c r="L22" s="23" t="str">
        <f>"119,3800"</f>
        <v>119,3800</v>
      </c>
      <c r="M22" s="21" t="s">
        <v>53</v>
      </c>
    </row>
    <row r="24" spans="1:12" ht="15">
      <c r="A24" s="58" t="s">
        <v>32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3" ht="12.75">
      <c r="A25" s="7" t="s">
        <v>309</v>
      </c>
      <c r="B25" s="7" t="s">
        <v>310</v>
      </c>
      <c r="C25" s="7" t="s">
        <v>311</v>
      </c>
      <c r="D25" s="7" t="str">
        <f>"0,5641"</f>
        <v>0,5641</v>
      </c>
      <c r="E25" s="7" t="s">
        <v>123</v>
      </c>
      <c r="F25" s="7" t="s">
        <v>17</v>
      </c>
      <c r="G25" s="9" t="s">
        <v>194</v>
      </c>
      <c r="H25" s="9" t="s">
        <v>184</v>
      </c>
      <c r="I25" s="8" t="s">
        <v>185</v>
      </c>
      <c r="J25" s="8"/>
      <c r="K25" s="7" t="str">
        <f>"220,0"</f>
        <v>220,0</v>
      </c>
      <c r="L25" s="9" t="str">
        <f>"124,0910"</f>
        <v>124,0910</v>
      </c>
      <c r="M25" s="7" t="s">
        <v>53</v>
      </c>
    </row>
    <row r="27" spans="1:12" ht="15">
      <c r="A27" s="58" t="s">
        <v>162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3" ht="12.75">
      <c r="A28" s="7" t="s">
        <v>240</v>
      </c>
      <c r="B28" s="7" t="s">
        <v>312</v>
      </c>
      <c r="C28" s="7" t="s">
        <v>242</v>
      </c>
      <c r="D28" s="7" t="str">
        <f>"0,5184"</f>
        <v>0,5184</v>
      </c>
      <c r="E28" s="7" t="s">
        <v>222</v>
      </c>
      <c r="F28" s="7" t="s">
        <v>17</v>
      </c>
      <c r="G28" s="9" t="s">
        <v>50</v>
      </c>
      <c r="H28" s="9" t="s">
        <v>51</v>
      </c>
      <c r="I28" s="9" t="s">
        <v>52</v>
      </c>
      <c r="J28" s="8"/>
      <c r="K28" s="7" t="str">
        <f>"180,0"</f>
        <v>180,0</v>
      </c>
      <c r="L28" s="9" t="str">
        <f>"94,1554"</f>
        <v>94,1554</v>
      </c>
      <c r="M28" s="7" t="s">
        <v>53</v>
      </c>
    </row>
    <row r="30" spans="5:6" ht="15">
      <c r="E30" s="10" t="s">
        <v>54</v>
      </c>
      <c r="F30" s="32" t="s">
        <v>569</v>
      </c>
    </row>
    <row r="31" spans="5:6" ht="15">
      <c r="E31" s="10" t="s">
        <v>55</v>
      </c>
      <c r="F31" s="32" t="s">
        <v>526</v>
      </c>
    </row>
    <row r="32" spans="5:6" ht="15">
      <c r="E32" s="10" t="s">
        <v>56</v>
      </c>
      <c r="F32" s="32" t="s">
        <v>524</v>
      </c>
    </row>
    <row r="33" spans="5:6" ht="15">
      <c r="E33" s="10" t="s">
        <v>57</v>
      </c>
      <c r="F33" s="32" t="s">
        <v>567</v>
      </c>
    </row>
    <row r="34" spans="5:6" ht="15">
      <c r="E34" s="10" t="s">
        <v>57</v>
      </c>
      <c r="F34" s="32" t="s">
        <v>527</v>
      </c>
    </row>
    <row r="35" ht="15">
      <c r="E35" s="10"/>
    </row>
    <row r="37" spans="1:2" ht="18">
      <c r="A37" s="11" t="s">
        <v>58</v>
      </c>
      <c r="B37" s="11"/>
    </row>
    <row r="38" spans="1:2" ht="15">
      <c r="A38" s="12" t="s">
        <v>66</v>
      </c>
      <c r="B38" s="12"/>
    </row>
    <row r="39" spans="1:2" ht="14.25">
      <c r="A39" s="14"/>
      <c r="B39" s="15" t="s">
        <v>59</v>
      </c>
    </row>
    <row r="40" spans="1:5" ht="15">
      <c r="A40" s="16" t="s">
        <v>60</v>
      </c>
      <c r="B40" s="16" t="s">
        <v>61</v>
      </c>
      <c r="C40" s="16" t="s">
        <v>62</v>
      </c>
      <c r="D40" s="16" t="s">
        <v>63</v>
      </c>
      <c r="E40" s="16" t="s">
        <v>64</v>
      </c>
    </row>
    <row r="41" spans="1:5" ht="12.75">
      <c r="A41" s="13" t="s">
        <v>296</v>
      </c>
      <c r="B41" s="4" t="s">
        <v>59</v>
      </c>
      <c r="C41" s="4" t="s">
        <v>69</v>
      </c>
      <c r="D41" s="4" t="s">
        <v>300</v>
      </c>
      <c r="E41" s="17" t="s">
        <v>314</v>
      </c>
    </row>
    <row r="42" spans="1:5" ht="12.75">
      <c r="A42" s="13" t="s">
        <v>289</v>
      </c>
      <c r="B42" s="4" t="s">
        <v>59</v>
      </c>
      <c r="C42" s="4" t="s">
        <v>65</v>
      </c>
      <c r="D42" s="4" t="s">
        <v>184</v>
      </c>
      <c r="E42" s="17" t="s">
        <v>315</v>
      </c>
    </row>
    <row r="43" spans="1:5" ht="12.75">
      <c r="A43" s="13" t="s">
        <v>280</v>
      </c>
      <c r="B43" s="4" t="s">
        <v>59</v>
      </c>
      <c r="C43" s="4" t="s">
        <v>169</v>
      </c>
      <c r="D43" s="4" t="s">
        <v>193</v>
      </c>
      <c r="E43" s="17" t="s">
        <v>316</v>
      </c>
    </row>
    <row r="44" spans="1:5" ht="12.75">
      <c r="A44" s="13" t="s">
        <v>225</v>
      </c>
      <c r="B44" s="4" t="s">
        <v>59</v>
      </c>
      <c r="C44" s="4" t="s">
        <v>69</v>
      </c>
      <c r="D44" s="4" t="s">
        <v>185</v>
      </c>
      <c r="E44" s="17" t="s">
        <v>317</v>
      </c>
    </row>
    <row r="45" spans="1:5" ht="12.75">
      <c r="A45" s="13" t="s">
        <v>284</v>
      </c>
      <c r="B45" s="4" t="s">
        <v>59</v>
      </c>
      <c r="C45" s="4" t="s">
        <v>169</v>
      </c>
      <c r="D45" s="4" t="s">
        <v>252</v>
      </c>
      <c r="E45" s="17" t="s">
        <v>318</v>
      </c>
    </row>
    <row r="46" spans="1:5" ht="12.75">
      <c r="A46" s="13" t="s">
        <v>22</v>
      </c>
      <c r="B46" s="4" t="s">
        <v>59</v>
      </c>
      <c r="C46" s="4" t="s">
        <v>69</v>
      </c>
      <c r="D46" s="4" t="s">
        <v>194</v>
      </c>
      <c r="E46" s="17" t="s">
        <v>319</v>
      </c>
    </row>
    <row r="47" spans="1:5" ht="12.75">
      <c r="A47" s="13" t="s">
        <v>308</v>
      </c>
      <c r="B47" s="4" t="s">
        <v>59</v>
      </c>
      <c r="C47" s="4" t="s">
        <v>71</v>
      </c>
      <c r="D47" s="4" t="s">
        <v>184</v>
      </c>
      <c r="E47" s="17" t="s">
        <v>320</v>
      </c>
    </row>
    <row r="48" spans="1:5" ht="12.75">
      <c r="A48" s="13" t="s">
        <v>304</v>
      </c>
      <c r="B48" s="4" t="s">
        <v>59</v>
      </c>
      <c r="C48" s="4" t="s">
        <v>69</v>
      </c>
      <c r="D48" s="4" t="s">
        <v>192</v>
      </c>
      <c r="E48" s="17" t="s">
        <v>321</v>
      </c>
    </row>
  </sheetData>
  <sheetProtection/>
  <mergeCells count="18">
    <mergeCell ref="A15:L15"/>
    <mergeCell ref="A18:L18"/>
    <mergeCell ref="A24:L24"/>
    <mergeCell ref="A27:L27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2">
      <selection activeCell="E12" sqref="E12:F16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2.375" style="4" customWidth="1"/>
    <col min="4" max="4" width="8.875" style="4" bestFit="1" customWidth="1"/>
    <col min="5" max="5" width="21.87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10.125" style="4" bestFit="1" customWidth="1"/>
    <col min="12" max="12" width="8.625" style="3" bestFit="1" customWidth="1"/>
    <col min="13" max="13" width="11.875" style="4" bestFit="1" customWidth="1"/>
    <col min="14" max="16384" width="9.125" style="3" customWidth="1"/>
  </cols>
  <sheetData>
    <row r="1" spans="1:13" s="2" customFormat="1" ht="28.5" customHeight="1">
      <c r="A1" s="43" t="s">
        <v>254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255</v>
      </c>
      <c r="H3" s="55"/>
      <c r="I3" s="55"/>
      <c r="J3" s="55"/>
      <c r="K3" s="60" t="s">
        <v>75</v>
      </c>
      <c r="L3" s="55" t="s">
        <v>3</v>
      </c>
      <c r="M3" s="39" t="s">
        <v>2</v>
      </c>
    </row>
    <row r="4" spans="1:13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7"/>
      <c r="L4" s="52"/>
      <c r="M4" s="40"/>
    </row>
    <row r="5" spans="1:12" ht="15">
      <c r="A5" s="41" t="s">
        <v>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18" t="s">
        <v>257</v>
      </c>
      <c r="B6" s="18" t="s">
        <v>258</v>
      </c>
      <c r="C6" s="18" t="s">
        <v>259</v>
      </c>
      <c r="D6" s="18" t="str">
        <f>"0,6093"</f>
        <v>0,6093</v>
      </c>
      <c r="E6" s="18" t="s">
        <v>107</v>
      </c>
      <c r="F6" s="18" t="s">
        <v>17</v>
      </c>
      <c r="G6" s="20" t="s">
        <v>185</v>
      </c>
      <c r="H6" s="20" t="s">
        <v>233</v>
      </c>
      <c r="I6" s="20" t="s">
        <v>260</v>
      </c>
      <c r="J6" s="19"/>
      <c r="K6" s="18" t="str">
        <f>"260,0"</f>
        <v>260,0</v>
      </c>
      <c r="L6" s="20" t="str">
        <f>"158,4180"</f>
        <v>158,4180</v>
      </c>
      <c r="M6" s="18" t="s">
        <v>116</v>
      </c>
    </row>
    <row r="7" spans="1:13" ht="12.75">
      <c r="A7" s="21" t="s">
        <v>262</v>
      </c>
      <c r="B7" s="21" t="s">
        <v>263</v>
      </c>
      <c r="C7" s="21" t="s">
        <v>264</v>
      </c>
      <c r="D7" s="21" t="str">
        <f>"0,5857"</f>
        <v>0,5857</v>
      </c>
      <c r="E7" s="21" t="s">
        <v>107</v>
      </c>
      <c r="F7" s="21" t="s">
        <v>17</v>
      </c>
      <c r="G7" s="23" t="s">
        <v>265</v>
      </c>
      <c r="H7" s="22" t="s">
        <v>186</v>
      </c>
      <c r="I7" s="22" t="s">
        <v>186</v>
      </c>
      <c r="J7" s="22"/>
      <c r="K7" s="21" t="str">
        <f>"225,0"</f>
        <v>225,0</v>
      </c>
      <c r="L7" s="23" t="str">
        <f>"131,7825"</f>
        <v>131,7825</v>
      </c>
      <c r="M7" s="21" t="s">
        <v>116</v>
      </c>
    </row>
    <row r="9" spans="1:12" ht="15">
      <c r="A9" s="58" t="s">
        <v>38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3" ht="12.75">
      <c r="A10" s="7" t="s">
        <v>235</v>
      </c>
      <c r="B10" s="7" t="s">
        <v>236</v>
      </c>
      <c r="C10" s="7" t="s">
        <v>237</v>
      </c>
      <c r="D10" s="7" t="str">
        <f>"0,5398"</f>
        <v>0,5398</v>
      </c>
      <c r="E10" s="7" t="s">
        <v>107</v>
      </c>
      <c r="F10" s="7" t="s">
        <v>17</v>
      </c>
      <c r="G10" s="8" t="s">
        <v>266</v>
      </c>
      <c r="H10" s="9" t="s">
        <v>266</v>
      </c>
      <c r="I10" s="9" t="s">
        <v>267</v>
      </c>
      <c r="J10" s="8"/>
      <c r="K10" s="7" t="str">
        <f>"252,5"</f>
        <v>252,5</v>
      </c>
      <c r="L10" s="9" t="str">
        <f>"136,2995"</f>
        <v>136,2995</v>
      </c>
      <c r="M10" s="7" t="s">
        <v>116</v>
      </c>
    </row>
    <row r="12" spans="5:6" ht="15">
      <c r="E12" s="10" t="s">
        <v>54</v>
      </c>
      <c r="F12" s="32" t="s">
        <v>569</v>
      </c>
    </row>
    <row r="13" spans="5:6" ht="15">
      <c r="E13" s="10" t="s">
        <v>55</v>
      </c>
      <c r="F13" s="32" t="s">
        <v>526</v>
      </c>
    </row>
    <row r="14" spans="5:6" ht="15">
      <c r="E14" s="10" t="s">
        <v>56</v>
      </c>
      <c r="F14" s="32" t="s">
        <v>524</v>
      </c>
    </row>
    <row r="15" spans="5:6" ht="15">
      <c r="E15" s="10" t="s">
        <v>57</v>
      </c>
      <c r="F15" s="32" t="s">
        <v>567</v>
      </c>
    </row>
    <row r="16" spans="5:6" ht="15">
      <c r="E16" s="10" t="s">
        <v>57</v>
      </c>
      <c r="F16" s="32" t="s">
        <v>527</v>
      </c>
    </row>
    <row r="17" ht="15">
      <c r="E17" s="10"/>
    </row>
    <row r="19" spans="1:2" ht="18">
      <c r="A19" s="11" t="s">
        <v>58</v>
      </c>
      <c r="B19" s="11"/>
    </row>
    <row r="20" spans="1:2" ht="15">
      <c r="A20" s="12" t="s">
        <v>66</v>
      </c>
      <c r="B20" s="12"/>
    </row>
    <row r="21" spans="1:2" ht="14.25">
      <c r="A21" s="14"/>
      <c r="B21" s="15" t="s">
        <v>59</v>
      </c>
    </row>
    <row r="22" spans="1:5" ht="15">
      <c r="A22" s="16" t="s">
        <v>60</v>
      </c>
      <c r="B22" s="16" t="s">
        <v>61</v>
      </c>
      <c r="C22" s="16" t="s">
        <v>62</v>
      </c>
      <c r="D22" s="16" t="s">
        <v>63</v>
      </c>
      <c r="E22" s="16" t="s">
        <v>64</v>
      </c>
    </row>
    <row r="23" spans="1:5" ht="12.75">
      <c r="A23" s="13" t="s">
        <v>256</v>
      </c>
      <c r="B23" s="4" t="s">
        <v>59</v>
      </c>
      <c r="C23" s="4" t="s">
        <v>69</v>
      </c>
      <c r="D23" s="4" t="s">
        <v>260</v>
      </c>
      <c r="E23" s="17" t="s">
        <v>268</v>
      </c>
    </row>
    <row r="24" spans="1:5" ht="12.75">
      <c r="A24" s="13" t="s">
        <v>234</v>
      </c>
      <c r="B24" s="4" t="s">
        <v>59</v>
      </c>
      <c r="C24" s="4" t="s">
        <v>73</v>
      </c>
      <c r="D24" s="4" t="s">
        <v>267</v>
      </c>
      <c r="E24" s="17" t="s">
        <v>269</v>
      </c>
    </row>
    <row r="25" spans="1:5" ht="12.75">
      <c r="A25" s="13" t="s">
        <v>261</v>
      </c>
      <c r="B25" s="4" t="s">
        <v>59</v>
      </c>
      <c r="C25" s="4" t="s">
        <v>69</v>
      </c>
      <c r="D25" s="4" t="s">
        <v>265</v>
      </c>
      <c r="E25" s="17" t="s">
        <v>270</v>
      </c>
    </row>
  </sheetData>
  <sheetProtection/>
  <mergeCells count="13"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8" sqref="E8:F12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2.375" style="4" customWidth="1"/>
    <col min="4" max="4" width="8.875" style="4" bestFit="1" customWidth="1"/>
    <col min="5" max="5" width="21.87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11.37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43" t="s">
        <v>570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11</v>
      </c>
      <c r="H3" s="55"/>
      <c r="I3" s="55"/>
      <c r="J3" s="55"/>
      <c r="K3" s="55" t="s">
        <v>75</v>
      </c>
      <c r="L3" s="55" t="s">
        <v>3</v>
      </c>
      <c r="M3" s="39" t="s">
        <v>2</v>
      </c>
    </row>
    <row r="4" spans="1:13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2"/>
      <c r="L4" s="52"/>
      <c r="M4" s="40"/>
    </row>
    <row r="5" spans="1:12" ht="15">
      <c r="A5" s="41" t="s">
        <v>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7" t="s">
        <v>249</v>
      </c>
      <c r="B6" s="7" t="s">
        <v>250</v>
      </c>
      <c r="C6" s="7" t="s">
        <v>251</v>
      </c>
      <c r="D6" s="7" t="str">
        <f>"0,5903"</f>
        <v>0,5903</v>
      </c>
      <c r="E6" s="7" t="s">
        <v>123</v>
      </c>
      <c r="F6" s="7" t="s">
        <v>17</v>
      </c>
      <c r="G6" s="9" t="s">
        <v>252</v>
      </c>
      <c r="H6" s="9" t="s">
        <v>253</v>
      </c>
      <c r="I6" s="9" t="s">
        <v>238</v>
      </c>
      <c r="J6" s="8"/>
      <c r="K6" s="7" t="str">
        <f>"215,0"</f>
        <v>215,0</v>
      </c>
      <c r="L6" s="9" t="str">
        <f>"126,9145"</f>
        <v>126,9145</v>
      </c>
      <c r="M6" s="7" t="s">
        <v>53</v>
      </c>
    </row>
    <row r="8" spans="5:6" ht="15">
      <c r="E8" s="10" t="s">
        <v>54</v>
      </c>
      <c r="F8" s="32" t="s">
        <v>569</v>
      </c>
    </row>
    <row r="9" spans="5:6" ht="15">
      <c r="E9" s="10" t="s">
        <v>55</v>
      </c>
      <c r="F9" s="32" t="s">
        <v>526</v>
      </c>
    </row>
    <row r="10" spans="5:6" ht="15">
      <c r="E10" s="10" t="s">
        <v>56</v>
      </c>
      <c r="F10" s="32" t="s">
        <v>524</v>
      </c>
    </row>
    <row r="11" spans="5:6" ht="15">
      <c r="E11" s="10" t="s">
        <v>57</v>
      </c>
      <c r="F11" s="32" t="s">
        <v>567</v>
      </c>
    </row>
    <row r="12" spans="5:6" ht="15">
      <c r="E12" s="10" t="s">
        <v>57</v>
      </c>
      <c r="F12" s="32" t="s">
        <v>527</v>
      </c>
    </row>
    <row r="13" ht="15">
      <c r="E13" s="10"/>
    </row>
    <row r="14" ht="15">
      <c r="E14" s="10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8">
      <selection activeCell="D17" sqref="D17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2.625" style="4" customWidth="1"/>
    <col min="4" max="4" width="8.875" style="4" bestFit="1" customWidth="1"/>
    <col min="5" max="5" width="21.87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10.1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43" t="s">
        <v>571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11</v>
      </c>
      <c r="H3" s="55"/>
      <c r="I3" s="55"/>
      <c r="J3" s="55"/>
      <c r="K3" s="60" t="s">
        <v>75</v>
      </c>
      <c r="L3" s="55" t="s">
        <v>3</v>
      </c>
      <c r="M3" s="39" t="s">
        <v>2</v>
      </c>
    </row>
    <row r="4" spans="1:13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7"/>
      <c r="L4" s="52"/>
      <c r="M4" s="40"/>
    </row>
    <row r="5" spans="1:12" ht="15">
      <c r="A5" s="41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7" t="s">
        <v>572</v>
      </c>
      <c r="B6" s="7" t="s">
        <v>220</v>
      </c>
      <c r="C6" s="7" t="s">
        <v>221</v>
      </c>
      <c r="D6" s="7" t="str">
        <f>"0,6373"</f>
        <v>0,6373</v>
      </c>
      <c r="E6" s="7" t="s">
        <v>222</v>
      </c>
      <c r="F6" s="7" t="s">
        <v>17</v>
      </c>
      <c r="G6" s="9" t="s">
        <v>223</v>
      </c>
      <c r="H6" s="8" t="s">
        <v>224</v>
      </c>
      <c r="I6" s="9" t="s">
        <v>224</v>
      </c>
      <c r="J6" s="8"/>
      <c r="K6" s="7" t="str">
        <f>"165,0"</f>
        <v>165,0</v>
      </c>
      <c r="L6" s="9" t="str">
        <f>"105,1545"</f>
        <v>105,1545</v>
      </c>
      <c r="M6" s="7" t="s">
        <v>53</v>
      </c>
    </row>
    <row r="8" spans="1:12" ht="15">
      <c r="A8" s="58" t="s">
        <v>38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7" t="s">
        <v>235</v>
      </c>
      <c r="B9" s="7" t="s">
        <v>236</v>
      </c>
      <c r="C9" s="7" t="s">
        <v>237</v>
      </c>
      <c r="D9" s="7" t="str">
        <f>"0,5398"</f>
        <v>0,5398</v>
      </c>
      <c r="E9" s="7" t="s">
        <v>107</v>
      </c>
      <c r="F9" s="7" t="s">
        <v>17</v>
      </c>
      <c r="G9" s="9" t="s">
        <v>52</v>
      </c>
      <c r="H9" s="9" t="s">
        <v>192</v>
      </c>
      <c r="I9" s="8" t="s">
        <v>238</v>
      </c>
      <c r="J9" s="8"/>
      <c r="K9" s="7" t="str">
        <f>"200,0"</f>
        <v>200,0</v>
      </c>
      <c r="L9" s="9" t="str">
        <f>"107,9600"</f>
        <v>107,9600</v>
      </c>
      <c r="M9" s="7" t="s">
        <v>116</v>
      </c>
    </row>
    <row r="11" spans="1:12" ht="15">
      <c r="A11" s="58" t="s">
        <v>162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2.75">
      <c r="A12" s="7" t="s">
        <v>240</v>
      </c>
      <c r="B12" s="7" t="s">
        <v>241</v>
      </c>
      <c r="C12" s="7" t="s">
        <v>242</v>
      </c>
      <c r="D12" s="7" t="str">
        <f>"0,5184"</f>
        <v>0,5184</v>
      </c>
      <c r="E12" s="7" t="s">
        <v>222</v>
      </c>
      <c r="F12" s="7" t="s">
        <v>17</v>
      </c>
      <c r="G12" s="9" t="s">
        <v>128</v>
      </c>
      <c r="H12" s="9" t="s">
        <v>50</v>
      </c>
      <c r="I12" s="9" t="s">
        <v>51</v>
      </c>
      <c r="J12" s="8"/>
      <c r="K12" s="7" t="str">
        <f>"175,0"</f>
        <v>175,0</v>
      </c>
      <c r="L12" s="9" t="str">
        <f>"90,7235"</f>
        <v>90,7235</v>
      </c>
      <c r="M12" s="7" t="s">
        <v>53</v>
      </c>
    </row>
    <row r="14" spans="5:6" ht="15">
      <c r="E14" s="10" t="s">
        <v>54</v>
      </c>
      <c r="F14" s="32" t="s">
        <v>569</v>
      </c>
    </row>
    <row r="15" spans="5:6" ht="15">
      <c r="E15" s="10" t="s">
        <v>55</v>
      </c>
      <c r="F15" s="32" t="s">
        <v>526</v>
      </c>
    </row>
    <row r="16" spans="5:6" ht="15">
      <c r="E16" s="10" t="s">
        <v>56</v>
      </c>
      <c r="F16" s="32" t="s">
        <v>524</v>
      </c>
    </row>
    <row r="17" spans="5:6" ht="15">
      <c r="E17" s="10" t="s">
        <v>57</v>
      </c>
      <c r="F17" s="32" t="s">
        <v>567</v>
      </c>
    </row>
    <row r="18" spans="5:6" ht="15">
      <c r="E18" s="10" t="s">
        <v>57</v>
      </c>
      <c r="F18" s="32" t="s">
        <v>527</v>
      </c>
    </row>
    <row r="19" ht="15">
      <c r="E19" s="10"/>
    </row>
    <row r="21" spans="1:2" ht="18">
      <c r="A21" s="11" t="s">
        <v>58</v>
      </c>
      <c r="B21" s="11"/>
    </row>
    <row r="22" spans="1:2" ht="15">
      <c r="A22" s="12" t="s">
        <v>66</v>
      </c>
      <c r="B22" s="12"/>
    </row>
    <row r="23" spans="1:2" ht="14.25">
      <c r="A23" s="14"/>
      <c r="B23" s="15" t="s">
        <v>59</v>
      </c>
    </row>
    <row r="24" spans="1:5" ht="15">
      <c r="A24" s="16" t="s">
        <v>60</v>
      </c>
      <c r="B24" s="16" t="s">
        <v>61</v>
      </c>
      <c r="C24" s="16" t="s">
        <v>62</v>
      </c>
      <c r="D24" s="16" t="s">
        <v>63</v>
      </c>
      <c r="E24" s="16" t="s">
        <v>64</v>
      </c>
    </row>
    <row r="25" spans="1:5" ht="12.75">
      <c r="A25" s="13" t="s">
        <v>234</v>
      </c>
      <c r="B25" s="4" t="s">
        <v>59</v>
      </c>
      <c r="C25" s="4" t="s">
        <v>73</v>
      </c>
      <c r="D25" s="4" t="s">
        <v>192</v>
      </c>
      <c r="E25" s="17" t="s">
        <v>246</v>
      </c>
    </row>
    <row r="26" spans="1:5" ht="12.75">
      <c r="A26" s="13" t="s">
        <v>219</v>
      </c>
      <c r="B26" s="4" t="s">
        <v>59</v>
      </c>
      <c r="C26" s="4" t="s">
        <v>65</v>
      </c>
      <c r="D26" s="4" t="s">
        <v>224</v>
      </c>
      <c r="E26" s="17" t="s">
        <v>247</v>
      </c>
    </row>
    <row r="27" spans="1:5" ht="12.75">
      <c r="A27" s="13" t="s">
        <v>239</v>
      </c>
      <c r="B27" s="4" t="s">
        <v>59</v>
      </c>
      <c r="C27" s="4" t="s">
        <v>173</v>
      </c>
      <c r="D27" s="4" t="s">
        <v>51</v>
      </c>
      <c r="E27" s="17" t="s">
        <v>248</v>
      </c>
    </row>
  </sheetData>
  <sheetProtection/>
  <mergeCells count="14">
    <mergeCell ref="A8:L8"/>
    <mergeCell ref="A11:L11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3">
      <selection activeCell="F11" sqref="F11"/>
    </sheetView>
  </sheetViews>
  <sheetFormatPr defaultColWidth="9.125" defaultRowHeight="12.75"/>
  <cols>
    <col min="1" max="1" width="24.625" style="4" bestFit="1" customWidth="1"/>
    <col min="2" max="2" width="28.625" style="4" bestFit="1" customWidth="1"/>
    <col min="3" max="3" width="12.00390625" style="4" customWidth="1"/>
    <col min="4" max="4" width="10.625" style="4" bestFit="1" customWidth="1"/>
    <col min="5" max="5" width="21.875" style="4" bestFit="1" customWidth="1"/>
    <col min="6" max="6" width="34.00390625" style="4" bestFit="1" customWidth="1"/>
    <col min="7" max="7" width="4.875" style="3" bestFit="1" customWidth="1"/>
    <col min="8" max="8" width="10.00390625" style="29" bestFit="1" customWidth="1"/>
    <col min="9" max="9" width="8.37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43" t="s">
        <v>529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1" t="s">
        <v>6</v>
      </c>
      <c r="C3" s="53" t="s">
        <v>7</v>
      </c>
      <c r="D3" s="55" t="s">
        <v>470</v>
      </c>
      <c r="E3" s="55" t="s">
        <v>4</v>
      </c>
      <c r="F3" s="55" t="s">
        <v>8</v>
      </c>
      <c r="G3" s="55" t="s">
        <v>454</v>
      </c>
      <c r="H3" s="55"/>
      <c r="I3" s="55" t="s">
        <v>457</v>
      </c>
      <c r="J3" s="55" t="s">
        <v>3</v>
      </c>
      <c r="K3" s="39" t="s">
        <v>2</v>
      </c>
    </row>
    <row r="4" spans="1:11" s="1" customFormat="1" ht="21" customHeight="1" thickBot="1">
      <c r="A4" s="50"/>
      <c r="B4" s="52"/>
      <c r="C4" s="54"/>
      <c r="D4" s="52"/>
      <c r="E4" s="52"/>
      <c r="F4" s="52"/>
      <c r="G4" s="6" t="s">
        <v>455</v>
      </c>
      <c r="H4" s="27" t="s">
        <v>456</v>
      </c>
      <c r="I4" s="52"/>
      <c r="J4" s="52"/>
      <c r="K4" s="40"/>
    </row>
    <row r="5" spans="1:10" ht="15">
      <c r="A5" s="41" t="s">
        <v>471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563</v>
      </c>
      <c r="B6" s="7" t="s">
        <v>564</v>
      </c>
      <c r="C6" s="34">
        <v>82.2</v>
      </c>
      <c r="D6" s="34" t="str">
        <f>"1,0000"</f>
        <v>1,0000</v>
      </c>
      <c r="E6" s="34" t="s">
        <v>562</v>
      </c>
      <c r="F6" s="7" t="s">
        <v>17</v>
      </c>
      <c r="G6" s="9" t="s">
        <v>71</v>
      </c>
      <c r="H6" s="28">
        <v>60</v>
      </c>
      <c r="I6" s="7">
        <v>6000</v>
      </c>
      <c r="J6" s="9">
        <f>I6/C6</f>
        <v>72.99270072992701</v>
      </c>
      <c r="K6" s="7" t="s">
        <v>53</v>
      </c>
    </row>
    <row r="7" spans="1:11" ht="12.75">
      <c r="A7" s="7" t="s">
        <v>563</v>
      </c>
      <c r="B7" s="7" t="s">
        <v>565</v>
      </c>
      <c r="C7" s="34">
        <v>82.2</v>
      </c>
      <c r="D7" s="34" t="str">
        <f>"1,0000"</f>
        <v>1,0000</v>
      </c>
      <c r="E7" s="34" t="s">
        <v>562</v>
      </c>
      <c r="F7" s="7" t="s">
        <v>17</v>
      </c>
      <c r="G7" s="9" t="s">
        <v>71</v>
      </c>
      <c r="H7" s="28">
        <v>60</v>
      </c>
      <c r="I7" s="7">
        <v>6000</v>
      </c>
      <c r="J7" s="9">
        <f>I7/C7</f>
        <v>72.99270072992701</v>
      </c>
      <c r="K7" s="7" t="s">
        <v>53</v>
      </c>
    </row>
    <row r="9" spans="5:6" ht="15">
      <c r="E9" s="10" t="s">
        <v>54</v>
      </c>
      <c r="F9" s="32" t="s">
        <v>569</v>
      </c>
    </row>
    <row r="10" spans="5:6" ht="15">
      <c r="E10" s="10" t="s">
        <v>55</v>
      </c>
      <c r="F10" s="32" t="s">
        <v>526</v>
      </c>
    </row>
    <row r="11" spans="5:6" ht="15">
      <c r="E11" s="10" t="s">
        <v>56</v>
      </c>
      <c r="F11" s="32" t="s">
        <v>569</v>
      </c>
    </row>
    <row r="12" spans="5:6" ht="15">
      <c r="E12" s="10" t="s">
        <v>57</v>
      </c>
      <c r="F12" s="32" t="s">
        <v>527</v>
      </c>
    </row>
    <row r="13" spans="5:6" ht="15">
      <c r="E13" s="10"/>
      <c r="F13" s="32"/>
    </row>
    <row r="14" ht="15">
      <c r="E14" s="10"/>
    </row>
    <row r="15" ht="15">
      <c r="E15" s="10"/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F20" sqref="F20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2.625" style="4" customWidth="1"/>
    <col min="4" max="4" width="8.875" style="4" bestFit="1" customWidth="1"/>
    <col min="5" max="5" width="21.87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10.1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43" t="s">
        <v>211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11</v>
      </c>
      <c r="H3" s="55"/>
      <c r="I3" s="55"/>
      <c r="J3" s="55"/>
      <c r="K3" s="60" t="s">
        <v>75</v>
      </c>
      <c r="L3" s="55" t="s">
        <v>3</v>
      </c>
      <c r="M3" s="39" t="s">
        <v>2</v>
      </c>
    </row>
    <row r="4" spans="1:13" s="1" customFormat="1" ht="21" customHeight="1" thickBot="1">
      <c r="A4" s="50"/>
      <c r="B4" s="52"/>
      <c r="C4" s="54"/>
      <c r="D4" s="52"/>
      <c r="E4" s="52"/>
      <c r="F4" s="52"/>
      <c r="G4" s="33">
        <v>1</v>
      </c>
      <c r="H4" s="33">
        <v>2</v>
      </c>
      <c r="I4" s="33">
        <v>3</v>
      </c>
      <c r="J4" s="33" t="s">
        <v>5</v>
      </c>
      <c r="K4" s="57"/>
      <c r="L4" s="52"/>
      <c r="M4" s="40"/>
    </row>
    <row r="5" spans="1:12" ht="15">
      <c r="A5" s="41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7" t="s">
        <v>213</v>
      </c>
      <c r="B6" s="7" t="s">
        <v>214</v>
      </c>
      <c r="C6" s="7" t="s">
        <v>215</v>
      </c>
      <c r="D6" s="7" t="str">
        <f>"0,6227"</f>
        <v>0,6227</v>
      </c>
      <c r="E6" s="7" t="s">
        <v>216</v>
      </c>
      <c r="F6" s="7" t="s">
        <v>217</v>
      </c>
      <c r="G6" s="9" t="s">
        <v>52</v>
      </c>
      <c r="H6" s="9" t="s">
        <v>203</v>
      </c>
      <c r="I6" s="9" t="s">
        <v>192</v>
      </c>
      <c r="J6" s="8"/>
      <c r="K6" s="7" t="str">
        <f>"200,0"</f>
        <v>200,0</v>
      </c>
      <c r="L6" s="9" t="str">
        <f>"124,5400"</f>
        <v>124,5400</v>
      </c>
      <c r="M6" s="7" t="s">
        <v>218</v>
      </c>
    </row>
    <row r="8" spans="1:12" ht="15">
      <c r="A8" s="58" t="s">
        <v>21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7" t="s">
        <v>226</v>
      </c>
      <c r="B9" s="7" t="s">
        <v>227</v>
      </c>
      <c r="C9" s="7" t="s">
        <v>228</v>
      </c>
      <c r="D9" s="7" t="str">
        <f>"0,5947"</f>
        <v>0,5947</v>
      </c>
      <c r="E9" s="7" t="s">
        <v>26</v>
      </c>
      <c r="F9" s="7" t="s">
        <v>27</v>
      </c>
      <c r="G9" s="9" t="s">
        <v>192</v>
      </c>
      <c r="H9" s="8" t="s">
        <v>193</v>
      </c>
      <c r="I9" s="9" t="s">
        <v>193</v>
      </c>
      <c r="J9" s="8"/>
      <c r="K9" s="7" t="str">
        <f>"205,0"</f>
        <v>205,0</v>
      </c>
      <c r="L9" s="9" t="str">
        <f>"121,9135"</f>
        <v>121,9135</v>
      </c>
      <c r="M9" s="7" t="s">
        <v>31</v>
      </c>
    </row>
    <row r="11" spans="1:12" ht="15">
      <c r="A11" s="58" t="s">
        <v>32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2.75">
      <c r="A12" s="7" t="s">
        <v>230</v>
      </c>
      <c r="B12" s="7" t="s">
        <v>231</v>
      </c>
      <c r="C12" s="7" t="s">
        <v>232</v>
      </c>
      <c r="D12" s="7" t="str">
        <f>"0,5553"</f>
        <v>0,5553</v>
      </c>
      <c r="E12" s="7" t="s">
        <v>107</v>
      </c>
      <c r="F12" s="7" t="s">
        <v>17</v>
      </c>
      <c r="G12" s="9" t="s">
        <v>184</v>
      </c>
      <c r="H12" s="9" t="s">
        <v>186</v>
      </c>
      <c r="I12" s="8" t="s">
        <v>233</v>
      </c>
      <c r="J12" s="8"/>
      <c r="K12" s="7" t="str">
        <f>"235,0"</f>
        <v>235,0</v>
      </c>
      <c r="L12" s="9" t="str">
        <f>"130,4955"</f>
        <v>130,4955</v>
      </c>
      <c r="M12" s="7" t="s">
        <v>116</v>
      </c>
    </row>
    <row r="14" spans="5:6" ht="15">
      <c r="E14" s="10" t="s">
        <v>54</v>
      </c>
      <c r="F14" s="32" t="s">
        <v>569</v>
      </c>
    </row>
    <row r="15" spans="5:6" ht="15">
      <c r="E15" s="10" t="s">
        <v>55</v>
      </c>
      <c r="F15" s="32" t="s">
        <v>526</v>
      </c>
    </row>
    <row r="16" spans="5:6" ht="15">
      <c r="E16" s="10" t="s">
        <v>56</v>
      </c>
      <c r="F16" s="32" t="s">
        <v>524</v>
      </c>
    </row>
    <row r="17" spans="5:6" ht="15">
      <c r="E17" s="10" t="s">
        <v>57</v>
      </c>
      <c r="F17" s="32" t="s">
        <v>567</v>
      </c>
    </row>
    <row r="18" spans="5:6" ht="15">
      <c r="E18" s="10" t="s">
        <v>57</v>
      </c>
      <c r="F18" s="32" t="s">
        <v>527</v>
      </c>
    </row>
    <row r="19" ht="15">
      <c r="E19" s="10"/>
    </row>
    <row r="21" spans="1:2" ht="18">
      <c r="A21" s="11" t="s">
        <v>58</v>
      </c>
      <c r="B21" s="11"/>
    </row>
    <row r="22" spans="1:2" ht="15">
      <c r="A22" s="12" t="s">
        <v>66</v>
      </c>
      <c r="B22" s="12"/>
    </row>
    <row r="23" spans="1:2" ht="14.25">
      <c r="A23" s="14"/>
      <c r="B23" s="15" t="s">
        <v>59</v>
      </c>
    </row>
    <row r="24" spans="1:5" ht="15">
      <c r="A24" s="16" t="s">
        <v>60</v>
      </c>
      <c r="B24" s="16" t="s">
        <v>61</v>
      </c>
      <c r="C24" s="16" t="s">
        <v>62</v>
      </c>
      <c r="D24" s="16" t="s">
        <v>63</v>
      </c>
      <c r="E24" s="16" t="s">
        <v>64</v>
      </c>
    </row>
    <row r="25" spans="1:5" ht="12.75">
      <c r="A25" s="13" t="s">
        <v>229</v>
      </c>
      <c r="B25" s="4" t="s">
        <v>59</v>
      </c>
      <c r="C25" s="4" t="s">
        <v>71</v>
      </c>
      <c r="D25" s="4" t="s">
        <v>186</v>
      </c>
      <c r="E25" s="17" t="s">
        <v>243</v>
      </c>
    </row>
    <row r="26" spans="1:5" ht="12.75">
      <c r="A26" s="13" t="s">
        <v>212</v>
      </c>
      <c r="B26" s="4" t="s">
        <v>59</v>
      </c>
      <c r="C26" s="4" t="s">
        <v>65</v>
      </c>
      <c r="D26" s="4" t="s">
        <v>192</v>
      </c>
      <c r="E26" s="17" t="s">
        <v>244</v>
      </c>
    </row>
    <row r="27" spans="1:5" ht="12.75">
      <c r="A27" s="13" t="s">
        <v>225</v>
      </c>
      <c r="B27" s="4" t="s">
        <v>59</v>
      </c>
      <c r="C27" s="4" t="s">
        <v>69</v>
      </c>
      <c r="D27" s="4" t="s">
        <v>193</v>
      </c>
      <c r="E27" s="17" t="s">
        <v>245</v>
      </c>
    </row>
  </sheetData>
  <sheetProtection/>
  <mergeCells count="14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E12" sqref="E12:F16"/>
    </sheetView>
  </sheetViews>
  <sheetFormatPr defaultColWidth="9.125" defaultRowHeight="12.75"/>
  <cols>
    <col min="1" max="1" width="24.625" style="4" bestFit="1" customWidth="1"/>
    <col min="2" max="2" width="28.625" style="4" bestFit="1" customWidth="1"/>
    <col min="3" max="3" width="12.125" style="4" customWidth="1"/>
    <col min="4" max="4" width="8.875" style="4" bestFit="1" customWidth="1"/>
    <col min="5" max="5" width="21.87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10.1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43" t="s">
        <v>179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11</v>
      </c>
      <c r="H3" s="55"/>
      <c r="I3" s="55"/>
      <c r="J3" s="55"/>
      <c r="K3" s="60" t="s">
        <v>75</v>
      </c>
      <c r="L3" s="55" t="s">
        <v>3</v>
      </c>
      <c r="M3" s="39" t="s">
        <v>2</v>
      </c>
    </row>
    <row r="4" spans="1:13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7"/>
      <c r="L4" s="52"/>
      <c r="M4" s="40"/>
    </row>
    <row r="5" spans="1:12" ht="15">
      <c r="A5" s="41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7" t="s">
        <v>181</v>
      </c>
      <c r="B6" s="7" t="s">
        <v>182</v>
      </c>
      <c r="C6" s="7" t="s">
        <v>183</v>
      </c>
      <c r="D6" s="7" t="str">
        <f>"0,5366"</f>
        <v>0,5366</v>
      </c>
      <c r="E6" s="7" t="s">
        <v>123</v>
      </c>
      <c r="F6" s="7" t="s">
        <v>17</v>
      </c>
      <c r="G6" s="9" t="s">
        <v>184</v>
      </c>
      <c r="H6" s="9" t="s">
        <v>185</v>
      </c>
      <c r="I6" s="8" t="s">
        <v>186</v>
      </c>
      <c r="J6" s="8"/>
      <c r="K6" s="7" t="str">
        <f>"230,0"</f>
        <v>230,0</v>
      </c>
      <c r="L6" s="9" t="str">
        <f>"123,4180"</f>
        <v>123,4180</v>
      </c>
      <c r="M6" s="7" t="s">
        <v>116</v>
      </c>
    </row>
    <row r="7" spans="1:13" ht="12.75">
      <c r="A7" s="7" t="s">
        <v>188</v>
      </c>
      <c r="B7" s="7" t="s">
        <v>189</v>
      </c>
      <c r="C7" s="7" t="s">
        <v>190</v>
      </c>
      <c r="D7" s="7" t="str">
        <f>"0,5416"</f>
        <v>0,5416</v>
      </c>
      <c r="E7" s="7" t="s">
        <v>16</v>
      </c>
      <c r="F7" s="7" t="s">
        <v>191</v>
      </c>
      <c r="G7" s="9" t="s">
        <v>192</v>
      </c>
      <c r="H7" s="9" t="s">
        <v>193</v>
      </c>
      <c r="I7" s="9" t="s">
        <v>194</v>
      </c>
      <c r="J7" s="8"/>
      <c r="K7" s="7" t="str">
        <f>"210,0"</f>
        <v>210,0</v>
      </c>
      <c r="L7" s="9" t="str">
        <f>"113,7465"</f>
        <v>113,7465</v>
      </c>
      <c r="M7" s="7" t="s">
        <v>53</v>
      </c>
    </row>
    <row r="8" spans="1:13" ht="12.75">
      <c r="A8" s="7" t="s">
        <v>195</v>
      </c>
      <c r="B8" s="7" t="s">
        <v>79</v>
      </c>
      <c r="C8" s="7" t="s">
        <v>196</v>
      </c>
      <c r="D8" s="7" t="str">
        <f>"0,5482"</f>
        <v>0,5482</v>
      </c>
      <c r="E8" s="7" t="s">
        <v>26</v>
      </c>
      <c r="F8" s="7" t="s">
        <v>27</v>
      </c>
      <c r="G8" s="9" t="s">
        <v>197</v>
      </c>
      <c r="H8" s="9" t="s">
        <v>198</v>
      </c>
      <c r="I8" s="8" t="s">
        <v>192</v>
      </c>
      <c r="J8" s="8"/>
      <c r="K8" s="7" t="str">
        <f>"197,5"</f>
        <v>197,5</v>
      </c>
      <c r="L8" s="9" t="str">
        <f>"108,2695"</f>
        <v>108,2695</v>
      </c>
      <c r="M8" s="7" t="s">
        <v>53</v>
      </c>
    </row>
    <row r="9" spans="1:13" ht="12.75">
      <c r="A9" s="7" t="s">
        <v>200</v>
      </c>
      <c r="B9" s="7" t="s">
        <v>201</v>
      </c>
      <c r="C9" s="7" t="s">
        <v>202</v>
      </c>
      <c r="D9" s="7" t="str">
        <f>"0,5475"</f>
        <v>0,5475</v>
      </c>
      <c r="E9" s="7" t="s">
        <v>123</v>
      </c>
      <c r="F9" s="7" t="s">
        <v>17</v>
      </c>
      <c r="G9" s="9" t="s">
        <v>52</v>
      </c>
      <c r="H9" s="9" t="s">
        <v>203</v>
      </c>
      <c r="I9" s="8" t="s">
        <v>198</v>
      </c>
      <c r="J9" s="8"/>
      <c r="K9" s="7" t="str">
        <f>"192,5"</f>
        <v>192,5</v>
      </c>
      <c r="L9" s="9" t="str">
        <f>"105,3938"</f>
        <v>105,3938</v>
      </c>
      <c r="M9" s="7" t="s">
        <v>53</v>
      </c>
    </row>
    <row r="10" spans="1:13" ht="12.75">
      <c r="A10" s="7" t="s">
        <v>204</v>
      </c>
      <c r="B10" s="7" t="s">
        <v>205</v>
      </c>
      <c r="C10" s="7" t="s">
        <v>206</v>
      </c>
      <c r="D10" s="7" t="str">
        <f>"0,5443"</f>
        <v>0,5443</v>
      </c>
      <c r="E10" s="7" t="s">
        <v>123</v>
      </c>
      <c r="F10" s="7" t="s">
        <v>17</v>
      </c>
      <c r="G10" s="9" t="s">
        <v>83</v>
      </c>
      <c r="H10" s="9" t="s">
        <v>156</v>
      </c>
      <c r="I10" s="9" t="s">
        <v>128</v>
      </c>
      <c r="J10" s="8"/>
      <c r="K10" s="7" t="str">
        <f>"160,0"</f>
        <v>160,0</v>
      </c>
      <c r="L10" s="9" t="str">
        <f>"87,8718"</f>
        <v>87,8718</v>
      </c>
      <c r="M10" s="7" t="s">
        <v>53</v>
      </c>
    </row>
    <row r="12" spans="5:6" ht="15">
      <c r="E12" s="10" t="s">
        <v>54</v>
      </c>
      <c r="F12" s="32" t="s">
        <v>569</v>
      </c>
    </row>
    <row r="13" spans="5:6" ht="15">
      <c r="E13" s="10" t="s">
        <v>55</v>
      </c>
      <c r="F13" s="32" t="s">
        <v>526</v>
      </c>
    </row>
    <row r="14" spans="5:6" ht="15">
      <c r="E14" s="10" t="s">
        <v>56</v>
      </c>
      <c r="F14" s="32" t="s">
        <v>524</v>
      </c>
    </row>
    <row r="15" spans="5:6" ht="15">
      <c r="E15" s="10" t="s">
        <v>57</v>
      </c>
      <c r="F15" s="32" t="s">
        <v>567</v>
      </c>
    </row>
    <row r="16" spans="5:6" ht="15">
      <c r="E16" s="10" t="s">
        <v>57</v>
      </c>
      <c r="F16" s="32" t="s">
        <v>527</v>
      </c>
    </row>
    <row r="17" ht="15">
      <c r="E17" s="10"/>
    </row>
    <row r="19" spans="1:2" ht="18">
      <c r="A19" s="11" t="s">
        <v>58</v>
      </c>
      <c r="B19" s="11"/>
    </row>
    <row r="20" spans="1:2" ht="15">
      <c r="A20" s="12" t="s">
        <v>66</v>
      </c>
      <c r="B20" s="12"/>
    </row>
    <row r="21" spans="1:2" ht="14.25">
      <c r="A21" s="14"/>
      <c r="B21" s="15" t="s">
        <v>59</v>
      </c>
    </row>
    <row r="22" spans="1:5" ht="15">
      <c r="A22" s="16" t="s">
        <v>60</v>
      </c>
      <c r="B22" s="16" t="s">
        <v>61</v>
      </c>
      <c r="C22" s="16" t="s">
        <v>62</v>
      </c>
      <c r="D22" s="16" t="s">
        <v>63</v>
      </c>
      <c r="E22" s="16" t="s">
        <v>64</v>
      </c>
    </row>
    <row r="23" spans="1:5" ht="12.75">
      <c r="A23" s="13" t="s">
        <v>180</v>
      </c>
      <c r="B23" s="4" t="s">
        <v>59</v>
      </c>
      <c r="C23" s="4" t="s">
        <v>73</v>
      </c>
      <c r="D23" s="4" t="s">
        <v>185</v>
      </c>
      <c r="E23" s="17" t="s">
        <v>207</v>
      </c>
    </row>
    <row r="24" spans="1:5" ht="12.75">
      <c r="A24" s="13" t="s">
        <v>187</v>
      </c>
      <c r="B24" s="4" t="s">
        <v>59</v>
      </c>
      <c r="C24" s="4" t="s">
        <v>73</v>
      </c>
      <c r="D24" s="4" t="s">
        <v>194</v>
      </c>
      <c r="E24" s="17" t="s">
        <v>208</v>
      </c>
    </row>
    <row r="25" spans="1:5" ht="12.75">
      <c r="A25" s="13" t="s">
        <v>77</v>
      </c>
      <c r="B25" s="4" t="s">
        <v>59</v>
      </c>
      <c r="C25" s="4" t="s">
        <v>73</v>
      </c>
      <c r="D25" s="4" t="s">
        <v>198</v>
      </c>
      <c r="E25" s="17" t="s">
        <v>209</v>
      </c>
    </row>
    <row r="26" spans="1:5" ht="12.75">
      <c r="A26" s="13" t="s">
        <v>199</v>
      </c>
      <c r="B26" s="4" t="s">
        <v>59</v>
      </c>
      <c r="C26" s="4" t="s">
        <v>73</v>
      </c>
      <c r="D26" s="4" t="s">
        <v>203</v>
      </c>
      <c r="E26" s="17" t="s">
        <v>210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A3" sqref="A3:A4"/>
    </sheetView>
  </sheetViews>
  <sheetFormatPr defaultColWidth="9.125" defaultRowHeight="12.75"/>
  <cols>
    <col min="1" max="1" width="24.625" style="4" bestFit="1" customWidth="1"/>
    <col min="2" max="2" width="28.625" style="4" bestFit="1" customWidth="1"/>
    <col min="3" max="3" width="12.625" style="4" customWidth="1"/>
    <col min="4" max="4" width="8.875" style="4" bestFit="1" customWidth="1"/>
    <col min="5" max="5" width="21.87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10.1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43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11</v>
      </c>
      <c r="H3" s="55"/>
      <c r="I3" s="55"/>
      <c r="J3" s="55"/>
      <c r="K3" s="60" t="s">
        <v>75</v>
      </c>
      <c r="L3" s="55" t="s">
        <v>3</v>
      </c>
      <c r="M3" s="39" t="s">
        <v>2</v>
      </c>
    </row>
    <row r="4" spans="1:13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7"/>
      <c r="L4" s="52"/>
      <c r="M4" s="40"/>
    </row>
    <row r="5" spans="1:12" ht="15">
      <c r="A5" s="41" t="s">
        <v>85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18" t="s">
        <v>86</v>
      </c>
      <c r="B6" s="18" t="s">
        <v>87</v>
      </c>
      <c r="C6" s="18" t="s">
        <v>88</v>
      </c>
      <c r="D6" s="18" t="str">
        <f>"0,9708"</f>
        <v>0,9708</v>
      </c>
      <c r="E6" s="18" t="s">
        <v>89</v>
      </c>
      <c r="F6" s="18" t="s">
        <v>90</v>
      </c>
      <c r="G6" s="20" t="s">
        <v>91</v>
      </c>
      <c r="H6" s="20" t="s">
        <v>18</v>
      </c>
      <c r="I6" s="19" t="s">
        <v>92</v>
      </c>
      <c r="J6" s="19"/>
      <c r="K6" s="18" t="str">
        <f>"60,0"</f>
        <v>60,0</v>
      </c>
      <c r="L6" s="20" t="str">
        <f>"58,2510"</f>
        <v>58,2510</v>
      </c>
      <c r="M6" s="18" t="s">
        <v>93</v>
      </c>
    </row>
    <row r="7" spans="1:13" ht="12.75">
      <c r="A7" s="21" t="s">
        <v>94</v>
      </c>
      <c r="B7" s="21" t="s">
        <v>95</v>
      </c>
      <c r="C7" s="21" t="s">
        <v>96</v>
      </c>
      <c r="D7" s="21" t="str">
        <f>"0,9848"</f>
        <v>0,9848</v>
      </c>
      <c r="E7" s="21" t="s">
        <v>97</v>
      </c>
      <c r="F7" s="21" t="s">
        <v>98</v>
      </c>
      <c r="G7" s="23" t="s">
        <v>99</v>
      </c>
      <c r="H7" s="22" t="s">
        <v>100</v>
      </c>
      <c r="I7" s="22" t="s">
        <v>100</v>
      </c>
      <c r="J7" s="22"/>
      <c r="K7" s="21" t="str">
        <f>"45,0"</f>
        <v>45,0</v>
      </c>
      <c r="L7" s="23" t="str">
        <f>"44,3160"</f>
        <v>44,3160</v>
      </c>
      <c r="M7" s="21" t="s">
        <v>101</v>
      </c>
    </row>
    <row r="9" spans="1:12" ht="15">
      <c r="A9" s="58" t="s">
        <v>102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3" ht="12.75">
      <c r="A10" s="18" t="s">
        <v>104</v>
      </c>
      <c r="B10" s="18" t="s">
        <v>105</v>
      </c>
      <c r="C10" s="18" t="s">
        <v>106</v>
      </c>
      <c r="D10" s="18" t="str">
        <f>"0,6882"</f>
        <v>0,6882</v>
      </c>
      <c r="E10" s="18" t="s">
        <v>107</v>
      </c>
      <c r="F10" s="18" t="s">
        <v>108</v>
      </c>
      <c r="G10" s="20" t="s">
        <v>109</v>
      </c>
      <c r="H10" s="20" t="s">
        <v>28</v>
      </c>
      <c r="I10" s="19" t="s">
        <v>29</v>
      </c>
      <c r="J10" s="19"/>
      <c r="K10" s="18" t="str">
        <f>"120,0"</f>
        <v>120,0</v>
      </c>
      <c r="L10" s="20" t="str">
        <f>"83,4098"</f>
        <v>83,4098</v>
      </c>
      <c r="M10" s="18" t="s">
        <v>110</v>
      </c>
    </row>
    <row r="11" spans="1:13" ht="12.75">
      <c r="A11" s="24" t="s">
        <v>112</v>
      </c>
      <c r="B11" s="24" t="s">
        <v>113</v>
      </c>
      <c r="C11" s="24" t="s">
        <v>114</v>
      </c>
      <c r="D11" s="24" t="str">
        <f>"0,6752"</f>
        <v>0,6752</v>
      </c>
      <c r="E11" s="24" t="s">
        <v>107</v>
      </c>
      <c r="F11" s="24" t="s">
        <v>17</v>
      </c>
      <c r="G11" s="26" t="s">
        <v>29</v>
      </c>
      <c r="H11" s="26" t="s">
        <v>37</v>
      </c>
      <c r="I11" s="25" t="s">
        <v>115</v>
      </c>
      <c r="J11" s="25"/>
      <c r="K11" s="24" t="str">
        <f>"132,5"</f>
        <v>132,5</v>
      </c>
      <c r="L11" s="26" t="str">
        <f>"89,4640"</f>
        <v>89,4640</v>
      </c>
      <c r="M11" s="24" t="s">
        <v>116</v>
      </c>
    </row>
    <row r="12" spans="1:13" ht="12.75">
      <c r="A12" s="24" t="s">
        <v>117</v>
      </c>
      <c r="B12" s="24" t="s">
        <v>118</v>
      </c>
      <c r="C12" s="24" t="s">
        <v>106</v>
      </c>
      <c r="D12" s="24" t="str">
        <f>"0,6882"</f>
        <v>0,6882</v>
      </c>
      <c r="E12" s="24" t="s">
        <v>107</v>
      </c>
      <c r="F12" s="24" t="s">
        <v>108</v>
      </c>
      <c r="G12" s="26" t="s">
        <v>109</v>
      </c>
      <c r="H12" s="26" t="s">
        <v>28</v>
      </c>
      <c r="I12" s="25" t="s">
        <v>29</v>
      </c>
      <c r="J12" s="25"/>
      <c r="K12" s="24" t="str">
        <f>"120,0"</f>
        <v>120,0</v>
      </c>
      <c r="L12" s="26" t="str">
        <f>"82,5840"</f>
        <v>82,5840</v>
      </c>
      <c r="M12" s="24" t="s">
        <v>110</v>
      </c>
    </row>
    <row r="13" spans="1:13" ht="12.75">
      <c r="A13" s="24" t="s">
        <v>120</v>
      </c>
      <c r="B13" s="24" t="s">
        <v>121</v>
      </c>
      <c r="C13" s="24" t="s">
        <v>122</v>
      </c>
      <c r="D13" s="24" t="str">
        <f>"0,6655"</f>
        <v>0,6655</v>
      </c>
      <c r="E13" s="24" t="s">
        <v>123</v>
      </c>
      <c r="F13" s="24" t="s">
        <v>17</v>
      </c>
      <c r="G13" s="26" t="s">
        <v>124</v>
      </c>
      <c r="H13" s="25" t="s">
        <v>28</v>
      </c>
      <c r="I13" s="25" t="s">
        <v>28</v>
      </c>
      <c r="J13" s="25"/>
      <c r="K13" s="24" t="str">
        <f>"110,0"</f>
        <v>110,0</v>
      </c>
      <c r="L13" s="26" t="str">
        <f>"73,2105"</f>
        <v>73,2105</v>
      </c>
      <c r="M13" s="24" t="s">
        <v>53</v>
      </c>
    </row>
    <row r="14" spans="1:13" ht="12.75">
      <c r="A14" s="21" t="s">
        <v>125</v>
      </c>
      <c r="B14" s="21" t="s">
        <v>126</v>
      </c>
      <c r="C14" s="21" t="s">
        <v>127</v>
      </c>
      <c r="D14" s="21" t="str">
        <f>"0,6680"</f>
        <v>0,6680</v>
      </c>
      <c r="E14" s="21" t="s">
        <v>123</v>
      </c>
      <c r="F14" s="21" t="s">
        <v>17</v>
      </c>
      <c r="G14" s="22" t="s">
        <v>128</v>
      </c>
      <c r="H14" s="22" t="s">
        <v>128</v>
      </c>
      <c r="I14" s="22" t="s">
        <v>128</v>
      </c>
      <c r="J14" s="22"/>
      <c r="K14" s="21" t="str">
        <f>"0.00"</f>
        <v>0.00</v>
      </c>
      <c r="L14" s="23" t="str">
        <f>"0,0000"</f>
        <v>0,0000</v>
      </c>
      <c r="M14" s="21" t="s">
        <v>129</v>
      </c>
    </row>
    <row r="16" spans="1:12" ht="15">
      <c r="A16" s="58" t="s">
        <v>12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3" ht="12.75">
      <c r="A17" s="7" t="s">
        <v>130</v>
      </c>
      <c r="B17" s="7" t="s">
        <v>131</v>
      </c>
      <c r="C17" s="7" t="s">
        <v>132</v>
      </c>
      <c r="D17" s="7" t="str">
        <f>"0,6391"</f>
        <v>0,6391</v>
      </c>
      <c r="E17" s="7" t="s">
        <v>16</v>
      </c>
      <c r="F17" s="7" t="s">
        <v>133</v>
      </c>
      <c r="G17" s="8" t="s">
        <v>43</v>
      </c>
      <c r="H17" s="9" t="s">
        <v>43</v>
      </c>
      <c r="I17" s="8" t="s">
        <v>134</v>
      </c>
      <c r="J17" s="8"/>
      <c r="K17" s="7" t="str">
        <f>"135,0"</f>
        <v>135,0</v>
      </c>
      <c r="L17" s="9" t="str">
        <f>"86,2785"</f>
        <v>86,2785</v>
      </c>
      <c r="M17" s="7" t="s">
        <v>53</v>
      </c>
    </row>
    <row r="19" spans="1:12" ht="15">
      <c r="A19" s="58" t="s">
        <v>21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3" ht="12.75">
      <c r="A20" s="18" t="s">
        <v>135</v>
      </c>
      <c r="B20" s="18" t="s">
        <v>136</v>
      </c>
      <c r="C20" s="18" t="s">
        <v>137</v>
      </c>
      <c r="D20" s="18" t="str">
        <f>"0,6147"</f>
        <v>0,6147</v>
      </c>
      <c r="E20" s="18" t="s">
        <v>138</v>
      </c>
      <c r="F20" s="18" t="s">
        <v>17</v>
      </c>
      <c r="G20" s="20" t="s">
        <v>109</v>
      </c>
      <c r="H20" s="20" t="s">
        <v>139</v>
      </c>
      <c r="I20" s="19" t="s">
        <v>28</v>
      </c>
      <c r="J20" s="19"/>
      <c r="K20" s="18" t="str">
        <f>"117,5"</f>
        <v>117,5</v>
      </c>
      <c r="L20" s="20" t="str">
        <f>"76,5609"</f>
        <v>76,5609</v>
      </c>
      <c r="M20" s="18" t="s">
        <v>140</v>
      </c>
    </row>
    <row r="21" spans="1:13" ht="12.75">
      <c r="A21" s="24" t="s">
        <v>142</v>
      </c>
      <c r="B21" s="24" t="s">
        <v>143</v>
      </c>
      <c r="C21" s="24" t="s">
        <v>144</v>
      </c>
      <c r="D21" s="24" t="str">
        <f>"0,5943"</f>
        <v>0,5943</v>
      </c>
      <c r="E21" s="24" t="s">
        <v>107</v>
      </c>
      <c r="F21" s="24" t="s">
        <v>17</v>
      </c>
      <c r="G21" s="26" t="s">
        <v>128</v>
      </c>
      <c r="H21" s="26" t="s">
        <v>145</v>
      </c>
      <c r="I21" s="26" t="s">
        <v>146</v>
      </c>
      <c r="J21" s="25"/>
      <c r="K21" s="24" t="str">
        <f>"172,5"</f>
        <v>172,5</v>
      </c>
      <c r="L21" s="26" t="str">
        <f>"102,5167"</f>
        <v>102,5167</v>
      </c>
      <c r="M21" s="24" t="s">
        <v>116</v>
      </c>
    </row>
    <row r="22" spans="1:13" ht="12.75">
      <c r="A22" s="24" t="s">
        <v>148</v>
      </c>
      <c r="B22" s="24" t="s">
        <v>149</v>
      </c>
      <c r="C22" s="24" t="s">
        <v>150</v>
      </c>
      <c r="D22" s="24" t="str">
        <f>"0,5877"</f>
        <v>0,5877</v>
      </c>
      <c r="E22" s="24" t="s">
        <v>123</v>
      </c>
      <c r="F22" s="24" t="s">
        <v>17</v>
      </c>
      <c r="G22" s="26" t="s">
        <v>83</v>
      </c>
      <c r="H22" s="26" t="s">
        <v>128</v>
      </c>
      <c r="I22" s="26" t="s">
        <v>145</v>
      </c>
      <c r="J22" s="25"/>
      <c r="K22" s="24" t="str">
        <f>"167,5"</f>
        <v>167,5</v>
      </c>
      <c r="L22" s="26" t="str">
        <f>"98,4398"</f>
        <v>98,4398</v>
      </c>
      <c r="M22" s="24" t="s">
        <v>53</v>
      </c>
    </row>
    <row r="23" spans="1:13" ht="12.75">
      <c r="A23" s="21" t="s">
        <v>152</v>
      </c>
      <c r="B23" s="21" t="s">
        <v>153</v>
      </c>
      <c r="C23" s="21" t="s">
        <v>154</v>
      </c>
      <c r="D23" s="21" t="str">
        <f>"0,5952"</f>
        <v>0,5952</v>
      </c>
      <c r="E23" s="21" t="s">
        <v>16</v>
      </c>
      <c r="F23" s="21" t="s">
        <v>155</v>
      </c>
      <c r="G23" s="23" t="s">
        <v>83</v>
      </c>
      <c r="H23" s="23" t="s">
        <v>156</v>
      </c>
      <c r="I23" s="23" t="s">
        <v>128</v>
      </c>
      <c r="J23" s="22"/>
      <c r="K23" s="21" t="str">
        <f>"160,0"</f>
        <v>160,0</v>
      </c>
      <c r="L23" s="23" t="str">
        <f>"95,2320"</f>
        <v>95,2320</v>
      </c>
      <c r="M23" s="21" t="s">
        <v>53</v>
      </c>
    </row>
    <row r="25" spans="1:12" ht="15">
      <c r="A25" s="58" t="s">
        <v>32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3" ht="12.75">
      <c r="A26" s="7" t="s">
        <v>34</v>
      </c>
      <c r="B26" s="7" t="s">
        <v>35</v>
      </c>
      <c r="C26" s="7" t="s">
        <v>36</v>
      </c>
      <c r="D26" s="7" t="str">
        <f>"0,5605"</f>
        <v>0,5605</v>
      </c>
      <c r="E26" s="7" t="s">
        <v>26</v>
      </c>
      <c r="F26" s="7" t="s">
        <v>27</v>
      </c>
      <c r="G26" s="9" t="s">
        <v>29</v>
      </c>
      <c r="H26" s="8" t="s">
        <v>157</v>
      </c>
      <c r="I26" s="9" t="s">
        <v>157</v>
      </c>
      <c r="J26" s="8"/>
      <c r="K26" s="7" t="str">
        <f>"130,0"</f>
        <v>130,0</v>
      </c>
      <c r="L26" s="9" t="str">
        <f>"72,8650"</f>
        <v>72,8650</v>
      </c>
      <c r="M26" s="7" t="s">
        <v>31</v>
      </c>
    </row>
    <row r="28" spans="1:12" ht="15">
      <c r="A28" s="58" t="s">
        <v>38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3" ht="12.75">
      <c r="A29" s="7" t="s">
        <v>158</v>
      </c>
      <c r="B29" s="7" t="s">
        <v>159</v>
      </c>
      <c r="C29" s="7" t="s">
        <v>160</v>
      </c>
      <c r="D29" s="7" t="str">
        <f>"0,5393"</f>
        <v>0,5393</v>
      </c>
      <c r="E29" s="7" t="s">
        <v>123</v>
      </c>
      <c r="F29" s="7" t="s">
        <v>17</v>
      </c>
      <c r="G29" s="8" t="s">
        <v>128</v>
      </c>
      <c r="H29" s="8" t="s">
        <v>128</v>
      </c>
      <c r="I29" s="8" t="s">
        <v>128</v>
      </c>
      <c r="J29" s="8"/>
      <c r="K29" s="7" t="str">
        <f>"0.00"</f>
        <v>0.00</v>
      </c>
      <c r="L29" s="9" t="str">
        <f>"0,0000"</f>
        <v>0,0000</v>
      </c>
      <c r="M29" s="7" t="s">
        <v>161</v>
      </c>
    </row>
    <row r="31" spans="1:12" ht="15">
      <c r="A31" s="58" t="s">
        <v>162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3" ht="12.75">
      <c r="A32" s="7" t="s">
        <v>164</v>
      </c>
      <c r="B32" s="7" t="s">
        <v>165</v>
      </c>
      <c r="C32" s="7" t="s">
        <v>166</v>
      </c>
      <c r="D32" s="7" t="str">
        <f>"0,5097"</f>
        <v>0,5097</v>
      </c>
      <c r="E32" s="7" t="s">
        <v>16</v>
      </c>
      <c r="F32" s="7" t="s">
        <v>17</v>
      </c>
      <c r="G32" s="9" t="s">
        <v>51</v>
      </c>
      <c r="H32" s="9" t="s">
        <v>52</v>
      </c>
      <c r="I32" s="9" t="s">
        <v>167</v>
      </c>
      <c r="J32" s="8"/>
      <c r="K32" s="7" t="str">
        <f>"185,0"</f>
        <v>185,0</v>
      </c>
      <c r="L32" s="9" t="str">
        <f>"94,2982"</f>
        <v>94,2982</v>
      </c>
      <c r="M32" s="7" t="s">
        <v>168</v>
      </c>
    </row>
    <row r="34" spans="5:6" ht="15">
      <c r="E34" s="10" t="s">
        <v>54</v>
      </c>
      <c r="F34" s="32" t="s">
        <v>569</v>
      </c>
    </row>
    <row r="35" spans="5:6" ht="15">
      <c r="E35" s="10" t="s">
        <v>55</v>
      </c>
      <c r="F35" s="32" t="s">
        <v>526</v>
      </c>
    </row>
    <row r="36" spans="5:6" ht="15">
      <c r="E36" s="10" t="s">
        <v>56</v>
      </c>
      <c r="F36" s="32" t="s">
        <v>524</v>
      </c>
    </row>
    <row r="37" spans="5:6" ht="15">
      <c r="E37" s="10" t="s">
        <v>57</v>
      </c>
      <c r="F37" s="32" t="s">
        <v>567</v>
      </c>
    </row>
    <row r="38" spans="5:6" ht="15">
      <c r="E38" s="10" t="s">
        <v>57</v>
      </c>
      <c r="F38" s="32" t="s">
        <v>527</v>
      </c>
    </row>
    <row r="39" ht="15">
      <c r="E39" s="10"/>
    </row>
    <row r="41" spans="1:2" ht="18">
      <c r="A41" s="11" t="s">
        <v>58</v>
      </c>
      <c r="B41" s="11"/>
    </row>
    <row r="42" spans="1:2" ht="15">
      <c r="A42" s="12" t="s">
        <v>66</v>
      </c>
      <c r="B42" s="12"/>
    </row>
    <row r="43" spans="1:2" ht="14.25">
      <c r="A43" s="14"/>
      <c r="B43" s="15" t="s">
        <v>59</v>
      </c>
    </row>
    <row r="44" spans="1:5" ht="15">
      <c r="A44" s="16" t="s">
        <v>60</v>
      </c>
      <c r="B44" s="16" t="s">
        <v>61</v>
      </c>
      <c r="C44" s="16" t="s">
        <v>62</v>
      </c>
      <c r="D44" s="16" t="s">
        <v>63</v>
      </c>
      <c r="E44" s="16" t="s">
        <v>64</v>
      </c>
    </row>
    <row r="45" spans="1:5" ht="12.75">
      <c r="A45" s="13" t="s">
        <v>141</v>
      </c>
      <c r="B45" s="4" t="s">
        <v>59</v>
      </c>
      <c r="C45" s="4" t="s">
        <v>69</v>
      </c>
      <c r="D45" s="4" t="s">
        <v>146</v>
      </c>
      <c r="E45" s="17" t="s">
        <v>170</v>
      </c>
    </row>
    <row r="46" spans="1:5" ht="12.75">
      <c r="A46" s="13" t="s">
        <v>147</v>
      </c>
      <c r="B46" s="4" t="s">
        <v>59</v>
      </c>
      <c r="C46" s="4" t="s">
        <v>69</v>
      </c>
      <c r="D46" s="4" t="s">
        <v>145</v>
      </c>
      <c r="E46" s="17" t="s">
        <v>171</v>
      </c>
    </row>
    <row r="47" spans="1:5" ht="12.75">
      <c r="A47" s="13" t="s">
        <v>151</v>
      </c>
      <c r="B47" s="4" t="s">
        <v>59</v>
      </c>
      <c r="C47" s="4" t="s">
        <v>69</v>
      </c>
      <c r="D47" s="4" t="s">
        <v>128</v>
      </c>
      <c r="E47" s="17" t="s">
        <v>172</v>
      </c>
    </row>
    <row r="48" spans="1:5" ht="12.75">
      <c r="A48" s="13" t="s">
        <v>163</v>
      </c>
      <c r="B48" s="4" t="s">
        <v>59</v>
      </c>
      <c r="C48" s="4" t="s">
        <v>173</v>
      </c>
      <c r="D48" s="4" t="s">
        <v>167</v>
      </c>
      <c r="E48" s="17" t="s">
        <v>174</v>
      </c>
    </row>
    <row r="49" spans="1:5" ht="12.75">
      <c r="A49" s="13" t="s">
        <v>111</v>
      </c>
      <c r="B49" s="4" t="s">
        <v>59</v>
      </c>
      <c r="C49" s="4" t="s">
        <v>169</v>
      </c>
      <c r="D49" s="4" t="s">
        <v>37</v>
      </c>
      <c r="E49" s="17" t="s">
        <v>175</v>
      </c>
    </row>
    <row r="50" spans="1:5" ht="12.75">
      <c r="A50" s="13" t="s">
        <v>103</v>
      </c>
      <c r="B50" s="4" t="s">
        <v>59</v>
      </c>
      <c r="C50" s="4" t="s">
        <v>169</v>
      </c>
      <c r="D50" s="4" t="s">
        <v>28</v>
      </c>
      <c r="E50" s="17" t="s">
        <v>176</v>
      </c>
    </row>
    <row r="51" spans="1:5" ht="12.75">
      <c r="A51" s="13" t="s">
        <v>119</v>
      </c>
      <c r="B51" s="4" t="s">
        <v>59</v>
      </c>
      <c r="C51" s="4" t="s">
        <v>169</v>
      </c>
      <c r="D51" s="4" t="s">
        <v>124</v>
      </c>
      <c r="E51" s="17" t="s">
        <v>177</v>
      </c>
    </row>
    <row r="52" spans="1:5" ht="12.75">
      <c r="A52" s="13" t="s">
        <v>33</v>
      </c>
      <c r="B52" s="4" t="s">
        <v>59</v>
      </c>
      <c r="C52" s="4" t="s">
        <v>71</v>
      </c>
      <c r="D52" s="4" t="s">
        <v>157</v>
      </c>
      <c r="E52" s="17" t="s">
        <v>178</v>
      </c>
    </row>
  </sheetData>
  <sheetProtection/>
  <mergeCells count="18">
    <mergeCell ref="A19:L19"/>
    <mergeCell ref="A25:L25"/>
    <mergeCell ref="A28:L28"/>
    <mergeCell ref="A31:L31"/>
    <mergeCell ref="K3:K4"/>
    <mergeCell ref="L3:L4"/>
    <mergeCell ref="M3:M4"/>
    <mergeCell ref="A5:L5"/>
    <mergeCell ref="A9:L9"/>
    <mergeCell ref="A16:L16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E8" sqref="E8:F12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2.625" style="4" customWidth="1"/>
    <col min="4" max="4" width="8.875" style="4" bestFit="1" customWidth="1"/>
    <col min="5" max="5" width="21.875" style="4" bestFit="1" customWidth="1"/>
    <col min="6" max="6" width="25.625" style="4" bestFit="1" customWidth="1"/>
    <col min="7" max="9" width="5.625" style="3" bestFit="1" customWidth="1"/>
    <col min="10" max="10" width="4.625" style="3" bestFit="1" customWidth="1"/>
    <col min="11" max="11" width="10.125" style="4" bestFit="1" customWidth="1"/>
    <col min="12" max="12" width="7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43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11</v>
      </c>
      <c r="H3" s="55"/>
      <c r="I3" s="55"/>
      <c r="J3" s="55"/>
      <c r="K3" s="60" t="s">
        <v>75</v>
      </c>
      <c r="L3" s="55" t="s">
        <v>3</v>
      </c>
      <c r="M3" s="39" t="s">
        <v>2</v>
      </c>
    </row>
    <row r="4" spans="1:13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7"/>
      <c r="L4" s="52"/>
      <c r="M4" s="40"/>
    </row>
    <row r="5" spans="1:12" ht="15">
      <c r="A5" s="41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7" t="s">
        <v>78</v>
      </c>
      <c r="B6" s="7" t="s">
        <v>79</v>
      </c>
      <c r="C6" s="7" t="s">
        <v>80</v>
      </c>
      <c r="D6" s="7" t="str">
        <f>"0,5481"</f>
        <v>0,5481</v>
      </c>
      <c r="E6" s="7" t="s">
        <v>26</v>
      </c>
      <c r="F6" s="7" t="s">
        <v>27</v>
      </c>
      <c r="G6" s="9" t="s">
        <v>81</v>
      </c>
      <c r="H6" s="9" t="s">
        <v>82</v>
      </c>
      <c r="I6" s="9" t="s">
        <v>83</v>
      </c>
      <c r="J6" s="8"/>
      <c r="K6" s="7" t="str">
        <f>"150,0"</f>
        <v>150,0</v>
      </c>
      <c r="L6" s="9" t="str">
        <f>"82,2150"</f>
        <v>82,2150</v>
      </c>
      <c r="M6" s="7" t="s">
        <v>53</v>
      </c>
    </row>
    <row r="8" spans="5:6" ht="15">
      <c r="E8" s="10" t="s">
        <v>54</v>
      </c>
      <c r="F8" s="32" t="s">
        <v>569</v>
      </c>
    </row>
    <row r="9" spans="5:6" ht="15">
      <c r="E9" s="10" t="s">
        <v>55</v>
      </c>
      <c r="F9" s="32" t="s">
        <v>526</v>
      </c>
    </row>
    <row r="10" spans="5:6" ht="15">
      <c r="E10" s="10" t="s">
        <v>56</v>
      </c>
      <c r="F10" s="32" t="s">
        <v>567</v>
      </c>
    </row>
    <row r="11" spans="5:6" ht="15">
      <c r="E11" s="10" t="s">
        <v>57</v>
      </c>
      <c r="F11" s="32" t="s">
        <v>568</v>
      </c>
    </row>
    <row r="12" spans="5:6" ht="15">
      <c r="E12" s="10" t="s">
        <v>57</v>
      </c>
      <c r="F12" s="32" t="s">
        <v>573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E12" sqref="E12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3.375" style="4" customWidth="1"/>
    <col min="4" max="4" width="8.875" style="4" bestFit="1" customWidth="1"/>
    <col min="5" max="5" width="21.87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10.125" style="4" bestFit="1" customWidth="1"/>
    <col min="12" max="12" width="7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61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1.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" customFormat="1" ht="12.75" customHeight="1">
      <c r="A3" s="49" t="s">
        <v>0</v>
      </c>
      <c r="B3" s="51" t="s">
        <v>6</v>
      </c>
      <c r="C3" s="53" t="s">
        <v>7</v>
      </c>
      <c r="D3" s="55" t="s">
        <v>10</v>
      </c>
      <c r="E3" s="55" t="s">
        <v>4</v>
      </c>
      <c r="F3" s="55" t="s">
        <v>8</v>
      </c>
      <c r="G3" s="55" t="s">
        <v>11</v>
      </c>
      <c r="H3" s="55"/>
      <c r="I3" s="55"/>
      <c r="J3" s="55"/>
      <c r="K3" s="60" t="s">
        <v>75</v>
      </c>
      <c r="L3" s="55" t="s">
        <v>3</v>
      </c>
      <c r="M3" s="39" t="s">
        <v>2</v>
      </c>
    </row>
    <row r="4" spans="1:13" s="1" customFormat="1" ht="21" customHeight="1" thickBot="1">
      <c r="A4" s="50"/>
      <c r="B4" s="52"/>
      <c r="C4" s="54"/>
      <c r="D4" s="52"/>
      <c r="E4" s="52"/>
      <c r="F4" s="52"/>
      <c r="G4" s="5">
        <v>1</v>
      </c>
      <c r="H4" s="5">
        <v>2</v>
      </c>
      <c r="I4" s="5">
        <v>3</v>
      </c>
      <c r="J4" s="5" t="s">
        <v>5</v>
      </c>
      <c r="K4" s="57"/>
      <c r="L4" s="52"/>
      <c r="M4" s="40"/>
    </row>
    <row r="5" spans="1:12" ht="15">
      <c r="A5" s="41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7" t="s">
        <v>13</v>
      </c>
      <c r="B6" s="7" t="s">
        <v>14</v>
      </c>
      <c r="C6" s="7" t="s">
        <v>15</v>
      </c>
      <c r="D6" s="7" t="str">
        <f>"0,6952"</f>
        <v>0,6952</v>
      </c>
      <c r="E6" s="7" t="s">
        <v>16</v>
      </c>
      <c r="F6" s="7" t="s">
        <v>17</v>
      </c>
      <c r="G6" s="9" t="s">
        <v>18</v>
      </c>
      <c r="H6" s="8" t="s">
        <v>19</v>
      </c>
      <c r="I6" s="8" t="s">
        <v>19</v>
      </c>
      <c r="J6" s="8"/>
      <c r="K6" s="7" t="str">
        <f>"60,0"</f>
        <v>60,0</v>
      </c>
      <c r="L6" s="9" t="str">
        <f>"41,7150"</f>
        <v>41,7150</v>
      </c>
      <c r="M6" s="7" t="s">
        <v>20</v>
      </c>
    </row>
    <row r="8" spans="1:12" ht="15">
      <c r="A8" s="58" t="s">
        <v>21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7" t="s">
        <v>23</v>
      </c>
      <c r="B9" s="7" t="s">
        <v>24</v>
      </c>
      <c r="C9" s="7" t="s">
        <v>25</v>
      </c>
      <c r="D9" s="7" t="str">
        <f>"0,6074"</f>
        <v>0,6074</v>
      </c>
      <c r="E9" s="7" t="s">
        <v>26</v>
      </c>
      <c r="F9" s="7" t="s">
        <v>27</v>
      </c>
      <c r="G9" s="9" t="s">
        <v>28</v>
      </c>
      <c r="H9" s="9" t="s">
        <v>29</v>
      </c>
      <c r="I9" s="9" t="s">
        <v>30</v>
      </c>
      <c r="J9" s="8"/>
      <c r="K9" s="7" t="str">
        <f>"127,5"</f>
        <v>127,5</v>
      </c>
      <c r="L9" s="9" t="str">
        <f>"77,4435"</f>
        <v>77,4435</v>
      </c>
      <c r="M9" s="7" t="s">
        <v>31</v>
      </c>
    </row>
    <row r="11" spans="1:12" ht="15">
      <c r="A11" s="58" t="s">
        <v>32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2.75">
      <c r="A12" s="7" t="s">
        <v>34</v>
      </c>
      <c r="B12" s="7" t="s">
        <v>35</v>
      </c>
      <c r="C12" s="7" t="s">
        <v>36</v>
      </c>
      <c r="D12" s="7" t="str">
        <f>"0,5605"</f>
        <v>0,5605</v>
      </c>
      <c r="E12" s="7" t="s">
        <v>26</v>
      </c>
      <c r="F12" s="7" t="s">
        <v>27</v>
      </c>
      <c r="G12" s="9" t="s">
        <v>28</v>
      </c>
      <c r="H12" s="9" t="s">
        <v>29</v>
      </c>
      <c r="I12" s="8" t="s">
        <v>37</v>
      </c>
      <c r="J12" s="8"/>
      <c r="K12" s="7" t="str">
        <f>"125,0"</f>
        <v>125,0</v>
      </c>
      <c r="L12" s="9" t="str">
        <f>"70,0625"</f>
        <v>70,0625</v>
      </c>
      <c r="M12" s="7" t="s">
        <v>31</v>
      </c>
    </row>
    <row r="14" spans="1:12" ht="15">
      <c r="A14" s="58" t="s">
        <v>38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3" ht="12.75">
      <c r="A15" s="7" t="s">
        <v>40</v>
      </c>
      <c r="B15" s="7" t="s">
        <v>41</v>
      </c>
      <c r="C15" s="7" t="s">
        <v>42</v>
      </c>
      <c r="D15" s="7" t="str">
        <f>"0,5380"</f>
        <v>0,5380</v>
      </c>
      <c r="E15" s="7" t="s">
        <v>16</v>
      </c>
      <c r="F15" s="7" t="s">
        <v>17</v>
      </c>
      <c r="G15" s="8" t="s">
        <v>28</v>
      </c>
      <c r="H15" s="9" t="s">
        <v>28</v>
      </c>
      <c r="I15" s="8" t="s">
        <v>43</v>
      </c>
      <c r="J15" s="8"/>
      <c r="K15" s="7" t="str">
        <f>"120,0"</f>
        <v>120,0</v>
      </c>
      <c r="L15" s="9" t="str">
        <f>"64,5600"</f>
        <v>64,5600</v>
      </c>
      <c r="M15" s="7" t="s">
        <v>20</v>
      </c>
    </row>
    <row r="17" spans="1:12" ht="15">
      <c r="A17" s="58" t="s">
        <v>44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3" ht="12.75">
      <c r="A18" s="7" t="s">
        <v>46</v>
      </c>
      <c r="B18" s="7" t="s">
        <v>47</v>
      </c>
      <c r="C18" s="7" t="s">
        <v>48</v>
      </c>
      <c r="D18" s="7" t="str">
        <f>"0,5279"</f>
        <v>0,5279</v>
      </c>
      <c r="E18" s="7" t="s">
        <v>49</v>
      </c>
      <c r="F18" s="7" t="s">
        <v>17</v>
      </c>
      <c r="G18" s="9" t="s">
        <v>50</v>
      </c>
      <c r="H18" s="9" t="s">
        <v>51</v>
      </c>
      <c r="I18" s="9" t="s">
        <v>52</v>
      </c>
      <c r="J18" s="8"/>
      <c r="K18" s="7" t="str">
        <f>"180,0"</f>
        <v>180,0</v>
      </c>
      <c r="L18" s="9" t="str">
        <f>"95,0220"</f>
        <v>95,0220</v>
      </c>
      <c r="M18" s="7" t="s">
        <v>53</v>
      </c>
    </row>
    <row r="20" spans="5:6" ht="15">
      <c r="E20" s="10" t="s">
        <v>54</v>
      </c>
      <c r="F20" s="32" t="s">
        <v>569</v>
      </c>
    </row>
    <row r="21" spans="5:6" ht="15">
      <c r="E21" s="10" t="s">
        <v>55</v>
      </c>
      <c r="F21" s="32" t="s">
        <v>526</v>
      </c>
    </row>
    <row r="22" spans="5:6" ht="15">
      <c r="E22" s="10" t="s">
        <v>56</v>
      </c>
      <c r="F22" s="32" t="s">
        <v>567</v>
      </c>
    </row>
    <row r="23" spans="5:6" ht="15">
      <c r="E23" s="10" t="s">
        <v>57</v>
      </c>
      <c r="F23" s="32" t="s">
        <v>568</v>
      </c>
    </row>
    <row r="24" spans="5:6" ht="15">
      <c r="E24" s="10" t="s">
        <v>57</v>
      </c>
      <c r="F24" s="32" t="s">
        <v>573</v>
      </c>
    </row>
    <row r="25" ht="15">
      <c r="E25" s="10"/>
    </row>
    <row r="27" spans="1:2" ht="18">
      <c r="A27" s="11" t="s">
        <v>58</v>
      </c>
      <c r="B27" s="11"/>
    </row>
    <row r="28" spans="1:2" ht="15">
      <c r="A28" s="12" t="s">
        <v>66</v>
      </c>
      <c r="B28" s="12"/>
    </row>
    <row r="29" spans="1:2" ht="14.25">
      <c r="A29" s="14"/>
      <c r="B29" s="15" t="s">
        <v>59</v>
      </c>
    </row>
    <row r="30" spans="1:5" ht="15">
      <c r="A30" s="16" t="s">
        <v>60</v>
      </c>
      <c r="B30" s="16" t="s">
        <v>61</v>
      </c>
      <c r="C30" s="16" t="s">
        <v>62</v>
      </c>
      <c r="D30" s="16" t="s">
        <v>63</v>
      </c>
      <c r="E30" s="16" t="s">
        <v>64</v>
      </c>
    </row>
    <row r="31" spans="1:5" ht="12.75">
      <c r="A31" s="13" t="s">
        <v>45</v>
      </c>
      <c r="B31" s="4" t="s">
        <v>59</v>
      </c>
      <c r="C31" s="4" t="s">
        <v>67</v>
      </c>
      <c r="D31" s="4" t="s">
        <v>52</v>
      </c>
      <c r="E31" s="17" t="s">
        <v>68</v>
      </c>
    </row>
    <row r="32" spans="1:5" ht="12.75">
      <c r="A32" s="13" t="s">
        <v>22</v>
      </c>
      <c r="B32" s="4" t="s">
        <v>59</v>
      </c>
      <c r="C32" s="4" t="s">
        <v>69</v>
      </c>
      <c r="D32" s="4" t="s">
        <v>30</v>
      </c>
      <c r="E32" s="17" t="s">
        <v>70</v>
      </c>
    </row>
    <row r="33" spans="1:5" ht="12.75">
      <c r="A33" s="13" t="s">
        <v>33</v>
      </c>
      <c r="B33" s="4" t="s">
        <v>59</v>
      </c>
      <c r="C33" s="4" t="s">
        <v>71</v>
      </c>
      <c r="D33" s="4" t="s">
        <v>29</v>
      </c>
      <c r="E33" s="17" t="s">
        <v>72</v>
      </c>
    </row>
    <row r="34" spans="1:5" ht="12.75">
      <c r="A34" s="13" t="s">
        <v>39</v>
      </c>
      <c r="B34" s="4" t="s">
        <v>59</v>
      </c>
      <c r="C34" s="4" t="s">
        <v>73</v>
      </c>
      <c r="D34" s="4" t="s">
        <v>28</v>
      </c>
      <c r="E34" s="17" t="s">
        <v>74</v>
      </c>
    </row>
  </sheetData>
  <sheetProtection/>
  <mergeCells count="16">
    <mergeCell ref="A5:L5"/>
    <mergeCell ref="A8:L8"/>
    <mergeCell ref="A11:L11"/>
    <mergeCell ref="A14:L14"/>
    <mergeCell ref="A17:L17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12" sqref="F12"/>
    </sheetView>
  </sheetViews>
  <sheetFormatPr defaultColWidth="9.125" defaultRowHeight="12.75"/>
  <cols>
    <col min="1" max="1" width="24.625" style="4" bestFit="1" customWidth="1"/>
    <col min="2" max="2" width="28.625" style="4" bestFit="1" customWidth="1"/>
    <col min="3" max="3" width="12.00390625" style="4" customWidth="1"/>
    <col min="4" max="4" width="10.625" style="4" bestFit="1" customWidth="1"/>
    <col min="5" max="5" width="21.875" style="4" bestFit="1" customWidth="1"/>
    <col min="6" max="6" width="27.125" style="4" bestFit="1" customWidth="1"/>
    <col min="7" max="7" width="8.625" style="3" bestFit="1" customWidth="1"/>
    <col min="8" max="8" width="10.00390625" style="29" bestFit="1" customWidth="1"/>
    <col min="9" max="9" width="8.37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43" t="s">
        <v>530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1" t="s">
        <v>6</v>
      </c>
      <c r="C3" s="53" t="s">
        <v>7</v>
      </c>
      <c r="D3" s="55" t="s">
        <v>470</v>
      </c>
      <c r="E3" s="55" t="s">
        <v>4</v>
      </c>
      <c r="F3" s="55" t="s">
        <v>8</v>
      </c>
      <c r="G3" s="55" t="s">
        <v>454</v>
      </c>
      <c r="H3" s="55"/>
      <c r="I3" s="55" t="s">
        <v>457</v>
      </c>
      <c r="J3" s="55" t="s">
        <v>3</v>
      </c>
      <c r="K3" s="39" t="s">
        <v>2</v>
      </c>
    </row>
    <row r="4" spans="1:11" s="1" customFormat="1" ht="21" customHeight="1" thickBot="1">
      <c r="A4" s="50"/>
      <c r="B4" s="52"/>
      <c r="C4" s="54"/>
      <c r="D4" s="52"/>
      <c r="E4" s="52"/>
      <c r="F4" s="52"/>
      <c r="G4" s="6" t="s">
        <v>455</v>
      </c>
      <c r="H4" s="27" t="s">
        <v>456</v>
      </c>
      <c r="I4" s="52"/>
      <c r="J4" s="52"/>
      <c r="K4" s="40"/>
    </row>
    <row r="5" spans="1:10" ht="15">
      <c r="A5" s="41" t="s">
        <v>471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559</v>
      </c>
      <c r="B6" s="7" t="s">
        <v>557</v>
      </c>
      <c r="C6" s="35">
        <v>78.6</v>
      </c>
      <c r="D6" s="34" t="str">
        <f>"1,0000"</f>
        <v>1,0000</v>
      </c>
      <c r="E6" s="7" t="s">
        <v>16</v>
      </c>
      <c r="F6" s="7" t="s">
        <v>555</v>
      </c>
      <c r="G6" s="36">
        <v>100</v>
      </c>
      <c r="H6" s="28">
        <v>44</v>
      </c>
      <c r="I6" s="28">
        <v>4400</v>
      </c>
      <c r="J6" s="37">
        <v>55.97964376590331</v>
      </c>
      <c r="K6" s="7" t="s">
        <v>556</v>
      </c>
    </row>
    <row r="7" spans="1:11" ht="12.75">
      <c r="A7" s="7" t="s">
        <v>560</v>
      </c>
      <c r="B7" s="7" t="s">
        <v>549</v>
      </c>
      <c r="C7" s="35">
        <v>98.8</v>
      </c>
      <c r="D7" s="34" t="str">
        <f>"1,0000"</f>
        <v>1,0000</v>
      </c>
      <c r="E7" s="7" t="s">
        <v>545</v>
      </c>
      <c r="F7" s="7" t="s">
        <v>543</v>
      </c>
      <c r="G7" s="36">
        <v>100</v>
      </c>
      <c r="H7" s="28">
        <v>43</v>
      </c>
      <c r="I7" s="28">
        <v>4300</v>
      </c>
      <c r="J7" s="37">
        <v>43.522267206477736</v>
      </c>
      <c r="K7" s="7" t="s">
        <v>544</v>
      </c>
    </row>
    <row r="8" spans="1:11" ht="12.75">
      <c r="A8" s="7" t="s">
        <v>561</v>
      </c>
      <c r="B8" s="7" t="s">
        <v>286</v>
      </c>
      <c r="C8" s="35" t="s">
        <v>287</v>
      </c>
      <c r="D8" s="34" t="str">
        <f>"1,0000"</f>
        <v>1,0000</v>
      </c>
      <c r="E8" s="7" t="s">
        <v>16</v>
      </c>
      <c r="F8" s="7" t="s">
        <v>288</v>
      </c>
      <c r="G8" s="36">
        <v>100</v>
      </c>
      <c r="H8" s="28">
        <v>41</v>
      </c>
      <c r="I8" s="28">
        <v>4100</v>
      </c>
      <c r="J8" s="37">
        <v>54.88621151271754</v>
      </c>
      <c r="K8" s="7" t="s">
        <v>53</v>
      </c>
    </row>
    <row r="10" spans="5:6" ht="15">
      <c r="E10" s="10" t="s">
        <v>54</v>
      </c>
      <c r="F10" s="32" t="s">
        <v>569</v>
      </c>
    </row>
    <row r="11" spans="5:6" ht="15">
      <c r="E11" s="10" t="s">
        <v>55</v>
      </c>
      <c r="F11" s="32" t="s">
        <v>526</v>
      </c>
    </row>
    <row r="12" spans="5:6" ht="15">
      <c r="E12" s="10" t="s">
        <v>56</v>
      </c>
      <c r="F12" s="32" t="s">
        <v>569</v>
      </c>
    </row>
    <row r="13" spans="5:6" ht="15">
      <c r="E13" s="10" t="s">
        <v>57</v>
      </c>
      <c r="F13" s="32" t="s">
        <v>527</v>
      </c>
    </row>
    <row r="14" spans="5:6" ht="15">
      <c r="E14" s="10"/>
      <c r="F14" s="32"/>
    </row>
    <row r="15" ht="15">
      <c r="E15" s="10"/>
    </row>
    <row r="16" ht="15">
      <c r="E16" s="10"/>
    </row>
    <row r="18" spans="1:2" ht="18">
      <c r="A18" s="11" t="s">
        <v>58</v>
      </c>
      <c r="B18" s="11"/>
    </row>
    <row r="19" spans="1:2" ht="15">
      <c r="A19" s="12" t="s">
        <v>66</v>
      </c>
      <c r="B19" s="12"/>
    </row>
    <row r="20" spans="1:2" ht="14.25">
      <c r="A20" s="14"/>
      <c r="B20" s="15" t="s">
        <v>59</v>
      </c>
    </row>
    <row r="21" spans="1:5" ht="15">
      <c r="A21" s="16" t="s">
        <v>60</v>
      </c>
      <c r="B21" s="16" t="s">
        <v>61</v>
      </c>
      <c r="C21" s="16" t="s">
        <v>62</v>
      </c>
      <c r="D21" s="16" t="s">
        <v>63</v>
      </c>
      <c r="E21" s="16" t="s">
        <v>489</v>
      </c>
    </row>
    <row r="22" spans="1:5" ht="12.75">
      <c r="A22" s="13" t="s">
        <v>554</v>
      </c>
      <c r="B22" s="4" t="s">
        <v>59</v>
      </c>
      <c r="C22" s="4" t="s">
        <v>490</v>
      </c>
      <c r="D22" s="4">
        <v>4400</v>
      </c>
      <c r="E22" s="17">
        <v>55.97964376590331</v>
      </c>
    </row>
    <row r="23" spans="1:5" ht="12.75">
      <c r="A23" s="13" t="s">
        <v>284</v>
      </c>
      <c r="B23" s="4" t="s">
        <v>59</v>
      </c>
      <c r="C23" s="4" t="s">
        <v>490</v>
      </c>
      <c r="D23" s="4">
        <v>4100</v>
      </c>
      <c r="E23" s="17">
        <v>54.88621151271754</v>
      </c>
    </row>
    <row r="24" spans="1:5" ht="12.75">
      <c r="A24" s="13" t="s">
        <v>542</v>
      </c>
      <c r="B24" s="4" t="s">
        <v>59</v>
      </c>
      <c r="C24" s="4" t="s">
        <v>490</v>
      </c>
      <c r="D24" s="4">
        <v>4300</v>
      </c>
      <c r="E24" s="17">
        <v>43.522267206477736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24.625" style="4" bestFit="1" customWidth="1"/>
    <col min="2" max="2" width="28.625" style="4" bestFit="1" customWidth="1"/>
    <col min="3" max="3" width="12.00390625" style="4" customWidth="1"/>
    <col min="4" max="4" width="10.625" style="4" bestFit="1" customWidth="1"/>
    <col min="5" max="5" width="21.875" style="4" bestFit="1" customWidth="1"/>
    <col min="6" max="6" width="34.00390625" style="4" bestFit="1" customWidth="1"/>
    <col min="7" max="7" width="4.875" style="3" bestFit="1" customWidth="1"/>
    <col min="8" max="8" width="10.00390625" style="29" bestFit="1" customWidth="1"/>
    <col min="9" max="9" width="8.37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43" t="s">
        <v>531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1" t="s">
        <v>6</v>
      </c>
      <c r="C3" s="53" t="s">
        <v>7</v>
      </c>
      <c r="D3" s="55" t="s">
        <v>470</v>
      </c>
      <c r="E3" s="55" t="s">
        <v>4</v>
      </c>
      <c r="F3" s="55" t="s">
        <v>8</v>
      </c>
      <c r="G3" s="55" t="s">
        <v>454</v>
      </c>
      <c r="H3" s="55"/>
      <c r="I3" s="55" t="s">
        <v>457</v>
      </c>
      <c r="J3" s="55" t="s">
        <v>3</v>
      </c>
      <c r="K3" s="39" t="s">
        <v>2</v>
      </c>
    </row>
    <row r="4" spans="1:11" s="1" customFormat="1" ht="21" customHeight="1" thickBot="1">
      <c r="A4" s="50"/>
      <c r="B4" s="52"/>
      <c r="C4" s="54"/>
      <c r="D4" s="52"/>
      <c r="E4" s="52"/>
      <c r="F4" s="52"/>
      <c r="G4" s="6" t="s">
        <v>455</v>
      </c>
      <c r="H4" s="27" t="s">
        <v>456</v>
      </c>
      <c r="I4" s="52"/>
      <c r="J4" s="52"/>
      <c r="K4" s="40"/>
    </row>
    <row r="5" spans="1:10" ht="15">
      <c r="A5" s="41" t="s">
        <v>471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273</v>
      </c>
      <c r="B6" s="7" t="s">
        <v>274</v>
      </c>
      <c r="C6" s="38" t="s">
        <v>275</v>
      </c>
      <c r="D6" s="34" t="str">
        <f>"1,0000"</f>
        <v>1,0000</v>
      </c>
      <c r="E6" s="34" t="s">
        <v>138</v>
      </c>
      <c r="F6" s="7" t="s">
        <v>17</v>
      </c>
      <c r="G6" s="36" t="s">
        <v>541</v>
      </c>
      <c r="H6" s="36" t="s">
        <v>538</v>
      </c>
      <c r="I6" s="36">
        <v>3245</v>
      </c>
      <c r="J6" s="36">
        <v>58.15412186379928</v>
      </c>
      <c r="K6" s="7" t="s">
        <v>140</v>
      </c>
    </row>
    <row r="7" spans="1:11" ht="12.75">
      <c r="A7" s="7" t="s">
        <v>540</v>
      </c>
      <c r="B7" s="7" t="s">
        <v>550</v>
      </c>
      <c r="C7" s="38" t="s">
        <v>534</v>
      </c>
      <c r="D7" s="34" t="str">
        <f>"1,0000"</f>
        <v>1,0000</v>
      </c>
      <c r="E7" s="34" t="s">
        <v>536</v>
      </c>
      <c r="F7" s="7" t="s">
        <v>537</v>
      </c>
      <c r="G7" s="36" t="s">
        <v>541</v>
      </c>
      <c r="H7" s="36" t="s">
        <v>539</v>
      </c>
      <c r="I7" s="36">
        <v>1705</v>
      </c>
      <c r="J7" s="36">
        <v>32.78846153846154</v>
      </c>
      <c r="K7" s="7" t="s">
        <v>535</v>
      </c>
    </row>
    <row r="9" spans="5:6" ht="15">
      <c r="E9" s="10" t="s">
        <v>54</v>
      </c>
      <c r="F9" s="32" t="s">
        <v>569</v>
      </c>
    </row>
    <row r="10" spans="5:6" ht="15">
      <c r="E10" s="10" t="s">
        <v>55</v>
      </c>
      <c r="F10" s="32" t="s">
        <v>526</v>
      </c>
    </row>
    <row r="11" spans="5:6" ht="15">
      <c r="E11" s="10" t="s">
        <v>56</v>
      </c>
      <c r="F11" s="32" t="s">
        <v>569</v>
      </c>
    </row>
    <row r="12" spans="5:6" ht="15">
      <c r="E12" s="10" t="s">
        <v>57</v>
      </c>
      <c r="F12" s="32" t="s">
        <v>527</v>
      </c>
    </row>
    <row r="13" spans="2:6" ht="15">
      <c r="B13" s="4" t="s">
        <v>532</v>
      </c>
      <c r="E13" s="10"/>
      <c r="F13" s="32"/>
    </row>
    <row r="14" ht="15">
      <c r="E14" s="10"/>
    </row>
    <row r="15" spans="2:5" ht="15">
      <c r="B15" s="4" t="s">
        <v>533</v>
      </c>
      <c r="E15" s="10"/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  <ignoredErrors>
    <ignoredError sqref="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F8" sqref="F8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0.00390625" style="4" bestFit="1" customWidth="1"/>
    <col min="4" max="4" width="10.625" style="4" bestFit="1" customWidth="1"/>
    <col min="5" max="5" width="21.875" style="4" bestFit="1" customWidth="1"/>
    <col min="6" max="6" width="34.00390625" style="4" bestFit="1" customWidth="1"/>
    <col min="7" max="7" width="5.625" style="3" customWidth="1"/>
    <col min="8" max="8" width="10.875" style="29" bestFit="1" customWidth="1"/>
    <col min="9" max="9" width="9.125" style="4" bestFit="1" customWidth="1"/>
    <col min="10" max="10" width="6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43" t="s">
        <v>520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6" t="s">
        <v>6</v>
      </c>
      <c r="C3" s="53" t="s">
        <v>7</v>
      </c>
      <c r="D3" s="55" t="s">
        <v>470</v>
      </c>
      <c r="E3" s="55" t="s">
        <v>4</v>
      </c>
      <c r="F3" s="55" t="s">
        <v>8</v>
      </c>
      <c r="G3" s="55" t="s">
        <v>454</v>
      </c>
      <c r="H3" s="55"/>
      <c r="I3" s="55" t="s">
        <v>457</v>
      </c>
      <c r="J3" s="55" t="s">
        <v>3</v>
      </c>
      <c r="K3" s="39" t="s">
        <v>2</v>
      </c>
    </row>
    <row r="4" spans="1:11" s="1" customFormat="1" ht="21" customHeight="1" thickBot="1">
      <c r="A4" s="50"/>
      <c r="B4" s="57"/>
      <c r="C4" s="54"/>
      <c r="D4" s="52"/>
      <c r="E4" s="52"/>
      <c r="F4" s="52"/>
      <c r="G4" s="5" t="s">
        <v>455</v>
      </c>
      <c r="H4" s="27" t="s">
        <v>456</v>
      </c>
      <c r="I4" s="52"/>
      <c r="J4" s="52"/>
      <c r="K4" s="40"/>
    </row>
    <row r="5" spans="1:10" ht="15">
      <c r="A5" s="41" t="s">
        <v>471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46</v>
      </c>
      <c r="B6" s="7" t="s">
        <v>47</v>
      </c>
      <c r="C6" s="7" t="s">
        <v>48</v>
      </c>
      <c r="D6" s="7" t="str">
        <f>"1,0000"</f>
        <v>1,0000</v>
      </c>
      <c r="E6" s="7" t="s">
        <v>49</v>
      </c>
      <c r="F6" s="7" t="s">
        <v>17</v>
      </c>
      <c r="G6" s="9" t="s">
        <v>83</v>
      </c>
      <c r="H6" s="28" t="s">
        <v>521</v>
      </c>
      <c r="I6" s="7" t="s">
        <v>522</v>
      </c>
      <c r="J6" s="9" t="s">
        <v>523</v>
      </c>
      <c r="K6" s="7" t="s">
        <v>53</v>
      </c>
    </row>
    <row r="7" ht="12.75">
      <c r="N7" s="31"/>
    </row>
    <row r="8" spans="5:6" ht="15">
      <c r="E8" s="10" t="s">
        <v>54</v>
      </c>
      <c r="F8" s="32" t="s">
        <v>569</v>
      </c>
    </row>
    <row r="9" spans="5:6" ht="15">
      <c r="E9" s="10" t="s">
        <v>55</v>
      </c>
      <c r="F9" s="32" t="s">
        <v>526</v>
      </c>
    </row>
    <row r="10" spans="5:6" ht="15">
      <c r="E10" s="10" t="s">
        <v>56</v>
      </c>
      <c r="F10" s="32" t="s">
        <v>567</v>
      </c>
    </row>
    <row r="11" spans="5:6" ht="15">
      <c r="E11" s="10" t="s">
        <v>57</v>
      </c>
      <c r="F11" s="32" t="s">
        <v>568</v>
      </c>
    </row>
    <row r="12" spans="5:6" ht="15">
      <c r="E12" s="10"/>
      <c r="F12" s="32"/>
    </row>
    <row r="13" ht="15">
      <c r="E13" s="10"/>
    </row>
    <row r="14" ht="15">
      <c r="E14" s="10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13" sqref="F13"/>
    </sheetView>
  </sheetViews>
  <sheetFormatPr defaultColWidth="9.125" defaultRowHeight="12.75"/>
  <cols>
    <col min="1" max="1" width="24.625" style="4" bestFit="1" customWidth="1"/>
    <col min="2" max="2" width="28.625" style="4" bestFit="1" customWidth="1"/>
    <col min="3" max="3" width="12.00390625" style="4" customWidth="1"/>
    <col min="4" max="4" width="10.625" style="4" bestFit="1" customWidth="1"/>
    <col min="5" max="5" width="21.875" style="4" bestFit="1" customWidth="1"/>
    <col min="6" max="6" width="34.00390625" style="4" bestFit="1" customWidth="1"/>
    <col min="7" max="7" width="4.875" style="3" bestFit="1" customWidth="1"/>
    <col min="8" max="8" width="10.00390625" style="29" bestFit="1" customWidth="1"/>
    <col min="9" max="9" width="8.37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43" t="s">
        <v>501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1" t="s">
        <v>6</v>
      </c>
      <c r="C3" s="53" t="s">
        <v>7</v>
      </c>
      <c r="D3" s="55" t="s">
        <v>470</v>
      </c>
      <c r="E3" s="55" t="s">
        <v>4</v>
      </c>
      <c r="F3" s="55" t="s">
        <v>8</v>
      </c>
      <c r="G3" s="55" t="s">
        <v>454</v>
      </c>
      <c r="H3" s="55"/>
      <c r="I3" s="55" t="s">
        <v>457</v>
      </c>
      <c r="J3" s="55" t="s">
        <v>3</v>
      </c>
      <c r="K3" s="39" t="s">
        <v>2</v>
      </c>
    </row>
    <row r="4" spans="1:11" s="1" customFormat="1" ht="21" customHeight="1" thickBot="1">
      <c r="A4" s="50"/>
      <c r="B4" s="52"/>
      <c r="C4" s="54"/>
      <c r="D4" s="52"/>
      <c r="E4" s="52"/>
      <c r="F4" s="52"/>
      <c r="G4" s="5" t="s">
        <v>455</v>
      </c>
      <c r="H4" s="27" t="s">
        <v>456</v>
      </c>
      <c r="I4" s="52"/>
      <c r="J4" s="52"/>
      <c r="K4" s="40"/>
    </row>
    <row r="5" spans="1:10" ht="15">
      <c r="A5" s="41" t="s">
        <v>471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503</v>
      </c>
      <c r="B6" s="7" t="s">
        <v>504</v>
      </c>
      <c r="C6" s="34" t="s">
        <v>505</v>
      </c>
      <c r="D6" s="34" t="str">
        <f>"1,0000"</f>
        <v>1,0000</v>
      </c>
      <c r="E6" s="34" t="s">
        <v>16</v>
      </c>
      <c r="F6" s="7" t="s">
        <v>217</v>
      </c>
      <c r="G6" s="9" t="s">
        <v>425</v>
      </c>
      <c r="H6" s="28" t="s">
        <v>506</v>
      </c>
      <c r="I6" s="7" t="str">
        <f>"5325,0"</f>
        <v>5325,0</v>
      </c>
      <c r="J6" s="9" t="str">
        <f>"54,5314"</f>
        <v>54,5314</v>
      </c>
      <c r="K6" s="7" t="s">
        <v>53</v>
      </c>
    </row>
    <row r="7" spans="1:11" ht="12.75">
      <c r="A7" s="7" t="s">
        <v>507</v>
      </c>
      <c r="B7" s="7" t="s">
        <v>35</v>
      </c>
      <c r="C7" s="34" t="s">
        <v>36</v>
      </c>
      <c r="D7" s="34" t="str">
        <f>"1,0000"</f>
        <v>1,0000</v>
      </c>
      <c r="E7" s="34" t="s">
        <v>26</v>
      </c>
      <c r="F7" s="7" t="s">
        <v>27</v>
      </c>
      <c r="G7" s="9" t="s">
        <v>425</v>
      </c>
      <c r="H7" s="28" t="s">
        <v>461</v>
      </c>
      <c r="I7" s="7" t="str">
        <f>"2475,0"</f>
        <v>2475,0</v>
      </c>
      <c r="J7" s="9" t="str">
        <f>"25,3846"</f>
        <v>25,3846</v>
      </c>
      <c r="K7" s="7" t="s">
        <v>31</v>
      </c>
    </row>
    <row r="8" spans="1:11" ht="12.75">
      <c r="A8" s="7" t="s">
        <v>509</v>
      </c>
      <c r="B8" s="7" t="s">
        <v>510</v>
      </c>
      <c r="C8" s="34" t="s">
        <v>511</v>
      </c>
      <c r="D8" s="34" t="str">
        <f>"1,0000"</f>
        <v>1,0000</v>
      </c>
      <c r="E8" s="34" t="s">
        <v>49</v>
      </c>
      <c r="F8" s="7" t="s">
        <v>17</v>
      </c>
      <c r="G8" s="9" t="s">
        <v>425</v>
      </c>
      <c r="H8" s="28" t="s">
        <v>512</v>
      </c>
      <c r="I8" s="7" t="str">
        <f>"1800,0"</f>
        <v>1800,0</v>
      </c>
      <c r="J8" s="9" t="str">
        <f>"22,0994"</f>
        <v>22,0994</v>
      </c>
      <c r="K8" s="7" t="s">
        <v>53</v>
      </c>
    </row>
    <row r="9" spans="1:11" ht="12.75">
      <c r="A9" s="7" t="s">
        <v>473</v>
      </c>
      <c r="B9" s="7" t="s">
        <v>513</v>
      </c>
      <c r="C9" s="34" t="s">
        <v>475</v>
      </c>
      <c r="D9" s="34" t="str">
        <f>"1,0000"</f>
        <v>1,0000</v>
      </c>
      <c r="E9" s="34" t="s">
        <v>26</v>
      </c>
      <c r="F9" s="7" t="s">
        <v>27</v>
      </c>
      <c r="G9" s="9" t="s">
        <v>425</v>
      </c>
      <c r="H9" s="28" t="s">
        <v>461</v>
      </c>
      <c r="I9" s="7" t="str">
        <f>"2475,0"</f>
        <v>2475,0</v>
      </c>
      <c r="J9" s="9" t="str">
        <f>"21,2355"</f>
        <v>21,2355</v>
      </c>
      <c r="K9" s="7" t="s">
        <v>31</v>
      </c>
    </row>
    <row r="11" spans="5:6" ht="15">
      <c r="E11" s="10" t="s">
        <v>54</v>
      </c>
      <c r="F11" s="32" t="s">
        <v>569</v>
      </c>
    </row>
    <row r="12" spans="5:6" ht="15">
      <c r="E12" s="10" t="s">
        <v>55</v>
      </c>
      <c r="F12" s="32" t="s">
        <v>526</v>
      </c>
    </row>
    <row r="13" spans="5:8" ht="15">
      <c r="E13" s="10" t="s">
        <v>56</v>
      </c>
      <c r="F13" s="32" t="s">
        <v>569</v>
      </c>
      <c r="H13" s="30"/>
    </row>
    <row r="14" spans="5:6" ht="15">
      <c r="E14" s="10" t="s">
        <v>57</v>
      </c>
      <c r="F14" s="32" t="s">
        <v>527</v>
      </c>
    </row>
    <row r="15" ht="15">
      <c r="E15" s="10"/>
    </row>
    <row r="16" ht="15">
      <c r="E16" s="10"/>
    </row>
    <row r="18" spans="1:2" ht="18">
      <c r="A18" s="11" t="s">
        <v>58</v>
      </c>
      <c r="B18" s="11"/>
    </row>
    <row r="19" spans="1:2" ht="15">
      <c r="A19" s="12" t="s">
        <v>66</v>
      </c>
      <c r="B19" s="12"/>
    </row>
    <row r="20" spans="1:2" ht="14.25">
      <c r="A20" s="14"/>
      <c r="B20" s="15" t="s">
        <v>59</v>
      </c>
    </row>
    <row r="21" spans="1:5" ht="15">
      <c r="A21" s="16" t="s">
        <v>60</v>
      </c>
      <c r="B21" s="16" t="s">
        <v>61</v>
      </c>
      <c r="C21" s="16" t="s">
        <v>62</v>
      </c>
      <c r="D21" s="16" t="s">
        <v>63</v>
      </c>
      <c r="E21" s="16" t="s">
        <v>489</v>
      </c>
    </row>
    <row r="22" spans="1:5" ht="12.75">
      <c r="A22" s="13" t="s">
        <v>502</v>
      </c>
      <c r="B22" s="4" t="s">
        <v>59</v>
      </c>
      <c r="C22" s="4" t="s">
        <v>490</v>
      </c>
      <c r="D22" s="4" t="s">
        <v>514</v>
      </c>
      <c r="E22" s="17" t="s">
        <v>515</v>
      </c>
    </row>
    <row r="23" spans="1:5" ht="12.75">
      <c r="A23" s="13" t="s">
        <v>33</v>
      </c>
      <c r="B23" s="4" t="s">
        <v>59</v>
      </c>
      <c r="C23" s="4" t="s">
        <v>490</v>
      </c>
      <c r="D23" s="4" t="s">
        <v>516</v>
      </c>
      <c r="E23" s="17" t="s">
        <v>517</v>
      </c>
    </row>
    <row r="24" spans="1:5" ht="12.75">
      <c r="A24" s="13" t="s">
        <v>508</v>
      </c>
      <c r="B24" s="4" t="s">
        <v>59</v>
      </c>
      <c r="C24" s="4" t="s">
        <v>490</v>
      </c>
      <c r="D24" s="4" t="s">
        <v>518</v>
      </c>
      <c r="E24" s="17" t="s">
        <v>519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18" sqref="D18"/>
    </sheetView>
  </sheetViews>
  <sheetFormatPr defaultColWidth="9.125" defaultRowHeight="12.75"/>
  <cols>
    <col min="1" max="1" width="24.625" style="4" bestFit="1" customWidth="1"/>
    <col min="2" max="2" width="28.625" style="4" bestFit="1" customWidth="1"/>
    <col min="3" max="3" width="12.00390625" style="4" customWidth="1"/>
    <col min="4" max="4" width="10.625" style="4" bestFit="1" customWidth="1"/>
    <col min="5" max="5" width="21.875" style="4" bestFit="1" customWidth="1"/>
    <col min="6" max="6" width="27.125" style="4" bestFit="1" customWidth="1"/>
    <col min="7" max="7" width="4.875" style="3" bestFit="1" customWidth="1"/>
    <col min="8" max="8" width="10.00390625" style="29" bestFit="1" customWidth="1"/>
    <col min="9" max="9" width="8.37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43" t="s">
        <v>469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1" t="s">
        <v>6</v>
      </c>
      <c r="C3" s="53" t="s">
        <v>7</v>
      </c>
      <c r="D3" s="55" t="s">
        <v>470</v>
      </c>
      <c r="E3" s="55" t="s">
        <v>4</v>
      </c>
      <c r="F3" s="55" t="s">
        <v>8</v>
      </c>
      <c r="G3" s="55" t="s">
        <v>454</v>
      </c>
      <c r="H3" s="55"/>
      <c r="I3" s="55" t="s">
        <v>457</v>
      </c>
      <c r="J3" s="55" t="s">
        <v>3</v>
      </c>
      <c r="K3" s="39" t="s">
        <v>2</v>
      </c>
    </row>
    <row r="4" spans="1:11" s="1" customFormat="1" ht="21" customHeight="1" thickBot="1">
      <c r="A4" s="50"/>
      <c r="B4" s="52"/>
      <c r="C4" s="54"/>
      <c r="D4" s="52"/>
      <c r="E4" s="52"/>
      <c r="F4" s="52"/>
      <c r="G4" s="5" t="s">
        <v>455</v>
      </c>
      <c r="H4" s="27" t="s">
        <v>456</v>
      </c>
      <c r="I4" s="52"/>
      <c r="J4" s="52"/>
      <c r="K4" s="40"/>
    </row>
    <row r="5" spans="1:10" ht="15">
      <c r="A5" s="41" t="s">
        <v>471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473</v>
      </c>
      <c r="B6" s="7" t="s">
        <v>474</v>
      </c>
      <c r="C6" s="34" t="s">
        <v>475</v>
      </c>
      <c r="D6" s="34" t="str">
        <f aca="true" t="shared" si="0" ref="D6:D11">"1,0000"</f>
        <v>1,0000</v>
      </c>
      <c r="E6" s="34" t="s">
        <v>26</v>
      </c>
      <c r="F6" s="7" t="s">
        <v>27</v>
      </c>
      <c r="G6" s="9" t="s">
        <v>405</v>
      </c>
      <c r="H6" s="28" t="s">
        <v>476</v>
      </c>
      <c r="I6" s="7" t="str">
        <f>"4070,0"</f>
        <v>4070,0</v>
      </c>
      <c r="J6" s="9" t="str">
        <f>"34,9206"</f>
        <v>34,9206</v>
      </c>
      <c r="K6" s="7" t="s">
        <v>31</v>
      </c>
    </row>
    <row r="7" spans="1:11" ht="12.75">
      <c r="A7" s="7" t="s">
        <v>477</v>
      </c>
      <c r="B7" s="7" t="s">
        <v>453</v>
      </c>
      <c r="C7" s="34" t="s">
        <v>264</v>
      </c>
      <c r="D7" s="34" t="str">
        <f t="shared" si="0"/>
        <v>1,0000</v>
      </c>
      <c r="E7" s="34" t="s">
        <v>97</v>
      </c>
      <c r="F7" s="7" t="s">
        <v>98</v>
      </c>
      <c r="G7" s="9" t="s">
        <v>405</v>
      </c>
      <c r="H7" s="28" t="s">
        <v>478</v>
      </c>
      <c r="I7" s="7" t="str">
        <f>"3520,0"</f>
        <v>3520,0</v>
      </c>
      <c r="J7" s="9" t="str">
        <f>"39,1546"</f>
        <v>39,1546</v>
      </c>
      <c r="K7" s="7" t="s">
        <v>53</v>
      </c>
    </row>
    <row r="8" spans="1:11" ht="12.75">
      <c r="A8" s="7" t="s">
        <v>303</v>
      </c>
      <c r="B8" s="7" t="s">
        <v>24</v>
      </c>
      <c r="C8" s="34" t="s">
        <v>25</v>
      </c>
      <c r="D8" s="34" t="str">
        <f t="shared" si="0"/>
        <v>1,0000</v>
      </c>
      <c r="E8" s="34" t="s">
        <v>26</v>
      </c>
      <c r="F8" s="7" t="s">
        <v>27</v>
      </c>
      <c r="G8" s="9" t="s">
        <v>405</v>
      </c>
      <c r="H8" s="28" t="s">
        <v>479</v>
      </c>
      <c r="I8" s="7" t="str">
        <f>"2530,0"</f>
        <v>2530,0</v>
      </c>
      <c r="J8" s="9" t="str">
        <f>"29,7997"</f>
        <v>29,7997</v>
      </c>
      <c r="K8" s="7" t="s">
        <v>31</v>
      </c>
    </row>
    <row r="9" spans="1:11" ht="12.75">
      <c r="A9" s="7" t="s">
        <v>481</v>
      </c>
      <c r="B9" s="7" t="s">
        <v>482</v>
      </c>
      <c r="C9" s="34" t="s">
        <v>483</v>
      </c>
      <c r="D9" s="34" t="str">
        <f t="shared" si="0"/>
        <v>1,0000</v>
      </c>
      <c r="E9" s="34" t="s">
        <v>333</v>
      </c>
      <c r="F9" s="7" t="s">
        <v>344</v>
      </c>
      <c r="G9" s="9" t="s">
        <v>405</v>
      </c>
      <c r="H9" s="28" t="s">
        <v>389</v>
      </c>
      <c r="I9" s="7" t="str">
        <f>"2200,0"</f>
        <v>2200,0</v>
      </c>
      <c r="J9" s="9" t="str">
        <f>"25,4629"</f>
        <v>25,4629</v>
      </c>
      <c r="K9" s="7" t="s">
        <v>53</v>
      </c>
    </row>
    <row r="10" spans="1:11" ht="12.75">
      <c r="A10" s="7" t="s">
        <v>484</v>
      </c>
      <c r="B10" s="7" t="s">
        <v>387</v>
      </c>
      <c r="C10" s="34" t="s">
        <v>388</v>
      </c>
      <c r="D10" s="34" t="str">
        <f t="shared" si="0"/>
        <v>1,0000</v>
      </c>
      <c r="E10" s="34" t="s">
        <v>97</v>
      </c>
      <c r="F10" s="7" t="s">
        <v>98</v>
      </c>
      <c r="G10" s="9" t="s">
        <v>405</v>
      </c>
      <c r="H10" s="28" t="s">
        <v>468</v>
      </c>
      <c r="I10" s="7" t="str">
        <f>"1870,0"</f>
        <v>1870,0</v>
      </c>
      <c r="J10" s="9" t="str">
        <f>"28,7250"</f>
        <v>28,7250</v>
      </c>
      <c r="K10" s="7" t="s">
        <v>101</v>
      </c>
    </row>
    <row r="11" spans="1:11" ht="12.75">
      <c r="A11" s="7" t="s">
        <v>485</v>
      </c>
      <c r="B11" s="7" t="s">
        <v>486</v>
      </c>
      <c r="C11" s="34" t="s">
        <v>487</v>
      </c>
      <c r="D11" s="34" t="str">
        <f t="shared" si="0"/>
        <v>1,0000</v>
      </c>
      <c r="E11" s="34" t="s">
        <v>26</v>
      </c>
      <c r="F11" s="7" t="s">
        <v>27</v>
      </c>
      <c r="G11" s="9" t="s">
        <v>405</v>
      </c>
      <c r="H11" s="28" t="s">
        <v>488</v>
      </c>
      <c r="I11" s="7" t="str">
        <f>"2860,0"</f>
        <v>2860,0</v>
      </c>
      <c r="J11" s="9" t="str">
        <f>"38,8586"</f>
        <v>38,8586</v>
      </c>
      <c r="K11" s="7" t="s">
        <v>31</v>
      </c>
    </row>
    <row r="13" spans="5:6" ht="15">
      <c r="E13" s="10" t="s">
        <v>54</v>
      </c>
      <c r="F13" s="32" t="s">
        <v>569</v>
      </c>
    </row>
    <row r="14" spans="5:6" ht="15">
      <c r="E14" s="10" t="s">
        <v>55</v>
      </c>
      <c r="F14" s="32" t="s">
        <v>526</v>
      </c>
    </row>
    <row r="15" spans="5:6" ht="15">
      <c r="E15" s="10" t="s">
        <v>56</v>
      </c>
      <c r="F15" s="32" t="s">
        <v>569</v>
      </c>
    </row>
    <row r="16" spans="5:6" ht="15">
      <c r="E16" s="10" t="s">
        <v>57</v>
      </c>
      <c r="F16" s="32" t="s">
        <v>527</v>
      </c>
    </row>
    <row r="17" ht="15">
      <c r="E17" s="10"/>
    </row>
    <row r="18" ht="15">
      <c r="E18" s="10"/>
    </row>
    <row r="20" spans="1:2" ht="18">
      <c r="A20" s="11" t="s">
        <v>58</v>
      </c>
      <c r="B20" s="11"/>
    </row>
    <row r="21" spans="1:2" ht="15">
      <c r="A21" s="12" t="s">
        <v>66</v>
      </c>
      <c r="B21" s="12"/>
    </row>
    <row r="22" spans="1:2" ht="14.25">
      <c r="A22" s="14"/>
      <c r="B22" s="15" t="s">
        <v>59</v>
      </c>
    </row>
    <row r="23" spans="1:5" ht="15">
      <c r="A23" s="16" t="s">
        <v>60</v>
      </c>
      <c r="B23" s="16" t="s">
        <v>61</v>
      </c>
      <c r="C23" s="16" t="s">
        <v>62</v>
      </c>
      <c r="D23" s="16" t="s">
        <v>63</v>
      </c>
      <c r="E23" s="16" t="s">
        <v>489</v>
      </c>
    </row>
    <row r="24" spans="1:5" ht="12.75">
      <c r="A24" s="13" t="s">
        <v>452</v>
      </c>
      <c r="B24" s="4" t="s">
        <v>59</v>
      </c>
      <c r="C24" s="4" t="s">
        <v>490</v>
      </c>
      <c r="D24" s="4" t="s">
        <v>491</v>
      </c>
      <c r="E24" s="17" t="s">
        <v>492</v>
      </c>
    </row>
    <row r="25" spans="1:5" ht="12.75">
      <c r="A25" s="13" t="s">
        <v>472</v>
      </c>
      <c r="B25" s="4" t="s">
        <v>59</v>
      </c>
      <c r="C25" s="4" t="s">
        <v>490</v>
      </c>
      <c r="D25" s="4" t="s">
        <v>493</v>
      </c>
      <c r="E25" s="17" t="s">
        <v>494</v>
      </c>
    </row>
    <row r="26" spans="1:5" ht="12.75">
      <c r="A26" s="13" t="s">
        <v>22</v>
      </c>
      <c r="B26" s="4" t="s">
        <v>59</v>
      </c>
      <c r="C26" s="4" t="s">
        <v>490</v>
      </c>
      <c r="D26" s="4" t="s">
        <v>495</v>
      </c>
      <c r="E26" s="17" t="s">
        <v>496</v>
      </c>
    </row>
    <row r="27" spans="1:5" ht="12.75">
      <c r="A27" s="13" t="s">
        <v>385</v>
      </c>
      <c r="B27" s="4" t="s">
        <v>59</v>
      </c>
      <c r="C27" s="4" t="s">
        <v>490</v>
      </c>
      <c r="D27" s="4" t="s">
        <v>497</v>
      </c>
      <c r="E27" s="17" t="s">
        <v>498</v>
      </c>
    </row>
    <row r="28" spans="1:5" ht="12.75">
      <c r="A28" s="13" t="s">
        <v>480</v>
      </c>
      <c r="B28" s="4" t="s">
        <v>59</v>
      </c>
      <c r="C28" s="4" t="s">
        <v>490</v>
      </c>
      <c r="D28" s="4" t="s">
        <v>499</v>
      </c>
      <c r="E28" s="17" t="s">
        <v>500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9" sqref="E9:F12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2.00390625" style="4" customWidth="1"/>
    <col min="4" max="4" width="10.375" style="4" bestFit="1" customWidth="1"/>
    <col min="5" max="5" width="21.875" style="4" bestFit="1" customWidth="1"/>
    <col min="6" max="6" width="34.00390625" style="4" bestFit="1" customWidth="1"/>
    <col min="7" max="7" width="5.375" style="3" customWidth="1"/>
    <col min="8" max="8" width="10.00390625" style="29" bestFit="1" customWidth="1"/>
    <col min="9" max="9" width="8.375" style="4" bestFit="1" customWidth="1"/>
    <col min="10" max="10" width="9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43" t="s">
        <v>462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1" t="s">
        <v>6</v>
      </c>
      <c r="C3" s="53" t="s">
        <v>7</v>
      </c>
      <c r="D3" s="55" t="s">
        <v>448</v>
      </c>
      <c r="E3" s="55" t="s">
        <v>4</v>
      </c>
      <c r="F3" s="55" t="s">
        <v>8</v>
      </c>
      <c r="G3" s="55" t="s">
        <v>454</v>
      </c>
      <c r="H3" s="55"/>
      <c r="I3" s="55" t="s">
        <v>457</v>
      </c>
      <c r="J3" s="55" t="s">
        <v>3</v>
      </c>
      <c r="K3" s="39" t="s">
        <v>2</v>
      </c>
    </row>
    <row r="4" spans="1:11" s="1" customFormat="1" ht="21" customHeight="1" thickBot="1">
      <c r="A4" s="50"/>
      <c r="B4" s="52"/>
      <c r="C4" s="54"/>
      <c r="D4" s="52"/>
      <c r="E4" s="52"/>
      <c r="F4" s="52"/>
      <c r="G4" s="5" t="s">
        <v>455</v>
      </c>
      <c r="H4" s="27" t="s">
        <v>456</v>
      </c>
      <c r="I4" s="52"/>
      <c r="J4" s="52"/>
      <c r="K4" s="40"/>
    </row>
    <row r="5" spans="1:10" ht="15">
      <c r="A5" s="41" t="s">
        <v>12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463</v>
      </c>
      <c r="B6" s="7" t="s">
        <v>464</v>
      </c>
      <c r="C6" s="7" t="s">
        <v>465</v>
      </c>
      <c r="D6" s="7" t="str">
        <f>"0,7761"</f>
        <v>0,7761</v>
      </c>
      <c r="E6" s="7" t="s">
        <v>49</v>
      </c>
      <c r="F6" s="7" t="s">
        <v>17</v>
      </c>
      <c r="G6" s="9" t="s">
        <v>426</v>
      </c>
      <c r="H6" s="28" t="s">
        <v>466</v>
      </c>
      <c r="I6" s="7" t="str">
        <f>"3052,5"</f>
        <v>3052,5</v>
      </c>
      <c r="J6" s="9" t="str">
        <f>"2369,0452"</f>
        <v>2369,0452</v>
      </c>
      <c r="K6" s="7" t="s">
        <v>53</v>
      </c>
    </row>
    <row r="7" spans="1:11" ht="12.75">
      <c r="A7" s="7" t="s">
        <v>467</v>
      </c>
      <c r="B7" s="7" t="s">
        <v>350</v>
      </c>
      <c r="C7" s="7" t="s">
        <v>351</v>
      </c>
      <c r="D7" s="7" t="str">
        <f>"0,7633"</f>
        <v>0,7633</v>
      </c>
      <c r="E7" s="7" t="s">
        <v>216</v>
      </c>
      <c r="F7" s="7" t="s">
        <v>217</v>
      </c>
      <c r="G7" s="9" t="s">
        <v>426</v>
      </c>
      <c r="H7" s="28" t="s">
        <v>468</v>
      </c>
      <c r="I7" s="7" t="str">
        <f>"2805,0"</f>
        <v>2805,0</v>
      </c>
      <c r="J7" s="9" t="str">
        <f>"2141,0565"</f>
        <v>2141,0565</v>
      </c>
      <c r="K7" s="7" t="s">
        <v>218</v>
      </c>
    </row>
    <row r="9" spans="5:6" ht="15">
      <c r="E9" s="10" t="s">
        <v>54</v>
      </c>
      <c r="F9" s="32" t="s">
        <v>569</v>
      </c>
    </row>
    <row r="10" spans="5:6" ht="15">
      <c r="E10" s="10" t="s">
        <v>55</v>
      </c>
      <c r="F10" s="32" t="s">
        <v>526</v>
      </c>
    </row>
    <row r="11" spans="5:6" ht="15">
      <c r="E11" s="10" t="s">
        <v>56</v>
      </c>
      <c r="F11" s="32" t="s">
        <v>569</v>
      </c>
    </row>
    <row r="12" spans="5:6" ht="15">
      <c r="E12" s="10" t="s">
        <v>57</v>
      </c>
      <c r="F12" s="32" t="s">
        <v>527</v>
      </c>
    </row>
    <row r="13" ht="15">
      <c r="E13" s="10"/>
    </row>
    <row r="14" ht="15">
      <c r="E14" s="10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8" sqref="E8:F11"/>
    </sheetView>
  </sheetViews>
  <sheetFormatPr defaultColWidth="9.125" defaultRowHeight="12.75"/>
  <cols>
    <col min="1" max="1" width="24.625" style="4" bestFit="1" customWidth="1"/>
    <col min="2" max="2" width="25.125" style="4" bestFit="1" customWidth="1"/>
    <col min="3" max="3" width="11.875" style="4" customWidth="1"/>
    <col min="4" max="4" width="10.375" style="4" bestFit="1" customWidth="1"/>
    <col min="5" max="5" width="21.875" style="4" bestFit="1" customWidth="1"/>
    <col min="6" max="6" width="27.125" style="4" bestFit="1" customWidth="1"/>
    <col min="7" max="7" width="4.875" style="3" bestFit="1" customWidth="1"/>
    <col min="8" max="8" width="10.00390625" style="29" bestFit="1" customWidth="1"/>
    <col min="9" max="9" width="8.375" style="4" bestFit="1" customWidth="1"/>
    <col min="10" max="10" width="8.625" style="3" bestFit="1" customWidth="1"/>
    <col min="11" max="11" width="11.00390625" style="4" bestFit="1" customWidth="1"/>
    <col min="12" max="16384" width="9.125" style="3" customWidth="1"/>
  </cols>
  <sheetData>
    <row r="1" spans="1:11" s="2" customFormat="1" ht="28.5" customHeight="1">
      <c r="A1" s="43" t="s">
        <v>458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61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1" t="s">
        <v>6</v>
      </c>
      <c r="C3" s="53" t="s">
        <v>7</v>
      </c>
      <c r="D3" s="55" t="s">
        <v>448</v>
      </c>
      <c r="E3" s="55" t="s">
        <v>4</v>
      </c>
      <c r="F3" s="55" t="s">
        <v>8</v>
      </c>
      <c r="G3" s="55" t="s">
        <v>454</v>
      </c>
      <c r="H3" s="55"/>
      <c r="I3" s="55" t="s">
        <v>457</v>
      </c>
      <c r="J3" s="55" t="s">
        <v>3</v>
      </c>
      <c r="K3" s="39" t="s">
        <v>2</v>
      </c>
    </row>
    <row r="4" spans="1:11" s="1" customFormat="1" ht="21" customHeight="1" thickBot="1">
      <c r="A4" s="50"/>
      <c r="B4" s="52"/>
      <c r="C4" s="54"/>
      <c r="D4" s="52"/>
      <c r="E4" s="52"/>
      <c r="F4" s="52"/>
      <c r="G4" s="5" t="s">
        <v>455</v>
      </c>
      <c r="H4" s="27" t="s">
        <v>456</v>
      </c>
      <c r="I4" s="52"/>
      <c r="J4" s="52"/>
      <c r="K4" s="40"/>
    </row>
    <row r="5" spans="1:10" ht="15">
      <c r="A5" s="41" t="s">
        <v>85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459</v>
      </c>
      <c r="B6" s="7" t="s">
        <v>95</v>
      </c>
      <c r="C6" s="7" t="s">
        <v>96</v>
      </c>
      <c r="D6" s="7" t="str">
        <f>"0,9536"</f>
        <v>0,9536</v>
      </c>
      <c r="E6" s="7" t="s">
        <v>97</v>
      </c>
      <c r="F6" s="7" t="s">
        <v>98</v>
      </c>
      <c r="G6" s="9" t="s">
        <v>460</v>
      </c>
      <c r="H6" s="28" t="s">
        <v>461</v>
      </c>
      <c r="I6" s="7" t="str">
        <f>"907,5"</f>
        <v>907,5</v>
      </c>
      <c r="J6" s="9" t="str">
        <f>"865,3920"</f>
        <v>865,3920</v>
      </c>
      <c r="K6" s="7" t="s">
        <v>101</v>
      </c>
    </row>
    <row r="8" spans="5:6" ht="15">
      <c r="E8" s="10" t="s">
        <v>54</v>
      </c>
      <c r="F8" s="32" t="s">
        <v>569</v>
      </c>
    </row>
    <row r="9" spans="5:6" ht="15">
      <c r="E9" s="10" t="s">
        <v>55</v>
      </c>
      <c r="F9" s="32" t="s">
        <v>526</v>
      </c>
    </row>
    <row r="10" spans="5:6" ht="15">
      <c r="E10" s="10" t="s">
        <v>56</v>
      </c>
      <c r="F10" s="32" t="s">
        <v>569</v>
      </c>
    </row>
    <row r="11" spans="5:6" ht="15">
      <c r="E11" s="10" t="s">
        <v>57</v>
      </c>
      <c r="F11" s="32" t="s">
        <v>527</v>
      </c>
    </row>
    <row r="12" spans="5:6" ht="15">
      <c r="E12" s="10"/>
      <c r="F12" s="32"/>
    </row>
    <row r="13" ht="15">
      <c r="E13" s="10"/>
    </row>
    <row r="14" ht="15">
      <c r="E14" s="10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2019-07-29T16:47:11Z</dcterms:modified>
  <cp:category/>
  <cp:version/>
  <cp:contentType/>
  <cp:contentStatus/>
</cp:coreProperties>
</file>