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Default Extension="vml" ContentType="application/vnd.openxmlformats-officedocument.vmlDrawing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805" tabRatio="778" activeTab="9"/>
  </bookViews>
  <sheets>
    <sheet name="РЖ любители 75 кг." sheetId="1" r:id="rId1"/>
    <sheet name="РЖ любители 55 кг." sheetId="2" r:id="rId2"/>
    <sheet name="РЖ любители 35 кг." sheetId="3" r:id="rId3"/>
    <sheet name="Проф. народный жим 1 вес" sheetId="4" r:id="rId4"/>
    <sheet name="Люб. народный жим 1 вес" sheetId="5" r:id="rId5"/>
    <sheet name="Двоеборье проф." sheetId="6" r:id="rId6"/>
    <sheet name="ПРО присед б.э." sheetId="7" r:id="rId7"/>
    <sheet name="Люб. присед б.э." sheetId="8" r:id="rId8"/>
    <sheet name="ПРО тяга б.э." sheetId="9" r:id="rId9"/>
    <sheet name="Люб. тяга б.э." sheetId="10" r:id="rId10"/>
    <sheet name="СОВ тяга" sheetId="11" r:id="rId11"/>
    <sheet name="Люб. жим софт экип." sheetId="12" r:id="rId12"/>
    <sheet name="ПРО жим б.э." sheetId="13" r:id="rId13"/>
    <sheet name="Люб. жим б.э." sheetId="14" r:id="rId14"/>
    <sheet name="Люб. жим 1.слой" sheetId="15" r:id="rId15"/>
    <sheet name="СОВ жим" sheetId="16" r:id="rId16"/>
    <sheet name="ПРО Военный жим" sheetId="17" r:id="rId17"/>
    <sheet name="Люб. Военный жим" sheetId="18" r:id="rId18"/>
    <sheet name="Люб. ПЛ. б.э." sheetId="19" r:id="rId19"/>
    <sheet name="ПРО жимовое двоеборье" sheetId="20" r:id="rId20"/>
    <sheet name="Любители жимовое двоеборье" sheetId="21" r:id="rId21"/>
  </sheets>
  <definedNames/>
  <calcPr fullCalcOnLoad="1" refMode="R1C1"/>
</workbook>
</file>

<file path=xl/sharedStrings.xml><?xml version="1.0" encoding="utf-8"?>
<sst xmlns="http://schemas.openxmlformats.org/spreadsheetml/2006/main" count="2376" uniqueCount="679">
  <si>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</si>
  <si>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</si>
  <si>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</si>
  <si>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</si>
  <si>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</si>
  <si>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</si>
  <si>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</si>
  <si>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</si>
  <si>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</si>
  <si>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Гран – При России по пауэрлифтингу и его отдельным движениям
Любители пауэрлифтинг без экипировки
Курск/Курская область 23 - 24 ноября 2018 г.</t>
  </si>
  <si>
    <t>Shv/Mel</t>
  </si>
  <si>
    <t>Приседание</t>
  </si>
  <si>
    <t>Жим лёжа</t>
  </si>
  <si>
    <t>Становая тяга</t>
  </si>
  <si>
    <t>ВЕСОВАЯ КАТЕГОРИЯ   60</t>
  </si>
  <si>
    <t>Фетисова Алина</t>
  </si>
  <si>
    <t>1. Фетисова Алина</t>
  </si>
  <si>
    <t>Девушки 18 - 19 (03.02.2000)/18</t>
  </si>
  <si>
    <t>58,95</t>
  </si>
  <si>
    <t xml:space="preserve">лично </t>
  </si>
  <si>
    <t xml:space="preserve">Брянск/Брянская область </t>
  </si>
  <si>
    <t>75,0</t>
  </si>
  <si>
    <t>80,0</t>
  </si>
  <si>
    <t>85,0</t>
  </si>
  <si>
    <t>30,0</t>
  </si>
  <si>
    <t>35,0</t>
  </si>
  <si>
    <t>40,0</t>
  </si>
  <si>
    <t>100,0</t>
  </si>
  <si>
    <t>105,0</t>
  </si>
  <si>
    <t xml:space="preserve">Лёвкин Владимир </t>
  </si>
  <si>
    <t>Змиевская Татьяна</t>
  </si>
  <si>
    <t>1. Змиевская Татьяна</t>
  </si>
  <si>
    <t>Открытая (12.09.1990)/28</t>
  </si>
  <si>
    <t>57,40</t>
  </si>
  <si>
    <t xml:space="preserve">Академия Силы </t>
  </si>
  <si>
    <t xml:space="preserve">Курчатов/Курская область </t>
  </si>
  <si>
    <t>90,0</t>
  </si>
  <si>
    <t>92,5</t>
  </si>
  <si>
    <t>45,0</t>
  </si>
  <si>
    <t>50,0</t>
  </si>
  <si>
    <t>95,0</t>
  </si>
  <si>
    <t xml:space="preserve">Меркулов Виталий </t>
  </si>
  <si>
    <t>ВЕСОВАЯ КАТЕГОРИЯ   56</t>
  </si>
  <si>
    <t>Песин Максим</t>
  </si>
  <si>
    <t>1. Песин Максим</t>
  </si>
  <si>
    <t>Юноши 14-15 (08.11.2003)/15</t>
  </si>
  <si>
    <t>52,15</t>
  </si>
  <si>
    <t xml:space="preserve">Курск/Курская область </t>
  </si>
  <si>
    <t>87,5</t>
  </si>
  <si>
    <t>52,5</t>
  </si>
  <si>
    <t>55,0</t>
  </si>
  <si>
    <t>57,5</t>
  </si>
  <si>
    <t>102,5</t>
  </si>
  <si>
    <t xml:space="preserve">Бабенков Евгений </t>
  </si>
  <si>
    <t>Латышев Дмитрий</t>
  </si>
  <si>
    <t>2. Латышев Дмитрий</t>
  </si>
  <si>
    <t>Юноши 14-15 (08.11.2004)/14</t>
  </si>
  <si>
    <t>52,10</t>
  </si>
  <si>
    <t xml:space="preserve">WEST GYM </t>
  </si>
  <si>
    <t>60,0</t>
  </si>
  <si>
    <t>65,0</t>
  </si>
  <si>
    <t>70,0</t>
  </si>
  <si>
    <t>47,5</t>
  </si>
  <si>
    <t>82,5</t>
  </si>
  <si>
    <t xml:space="preserve">Тимофеев Александр </t>
  </si>
  <si>
    <t>ВЕСОВАЯ КАТЕГОРИЯ   110</t>
  </si>
  <si>
    <t>Тихонов Андрей</t>
  </si>
  <si>
    <t>1. Тихонов Андрей</t>
  </si>
  <si>
    <t>Открытая (08.11.1980)/38</t>
  </si>
  <si>
    <t>109,00</t>
  </si>
  <si>
    <t>200,0</t>
  </si>
  <si>
    <t>180,0</t>
  </si>
  <si>
    <t>185,0</t>
  </si>
  <si>
    <t>280,0</t>
  </si>
  <si>
    <t>290,0</t>
  </si>
  <si>
    <t>300,0</t>
  </si>
  <si>
    <t xml:space="preserve">Самостоятельно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</si>
  <si>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</si>
  <si>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</si>
  <si>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</si>
  <si>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</si>
  <si>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</si>
  <si>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</si>
  <si>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</si>
  <si>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Девушки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</si>
  <si>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</si>
  <si>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</si>
  <si>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</si>
  <si>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</si>
  <si>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</si>
  <si>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Юноши 18 - 19 </t>
  </si>
  <si>
    <t>225,0</t>
  </si>
  <si>
    <t>208,4013</t>
  </si>
  <si>
    <t xml:space="preserve">Открытая </t>
  </si>
  <si>
    <t>230,0</t>
  </si>
  <si>
    <t>205,4935</t>
  </si>
  <si>
    <t xml:space="preserve">Мужчины </t>
  </si>
  <si>
    <t xml:space="preserve">Юноши </t>
  </si>
  <si>
    <t xml:space="preserve">Юноши 14-15 </t>
  </si>
  <si>
    <t>56,0</t>
  </si>
  <si>
    <t>250,0</t>
  </si>
  <si>
    <t>279,7633</t>
  </si>
  <si>
    <t>207,5</t>
  </si>
  <si>
    <t>242,3106</t>
  </si>
  <si>
    <t>110,0</t>
  </si>
  <si>
    <t>670,0</t>
  </si>
  <si>
    <t>360,2590</t>
  </si>
  <si>
    <t>Гран – При России по пауэрлифтингу и его отдельным движениям
Любители военный жим
Курск/Курская область 23 - 24 ноября 2018 г.</t>
  </si>
  <si>
    <t>ВЕСОВАЯ КАТЕГОРИЯ   67.5</t>
  </si>
  <si>
    <t>Дементьева Елена</t>
  </si>
  <si>
    <t>1. Дементьева Елена</t>
  </si>
  <si>
    <t>Открытая (16.03.1981)/37</t>
  </si>
  <si>
    <t>64,00</t>
  </si>
  <si>
    <t>ВЕСОВАЯ КАТЕГОРИЯ   82.5</t>
  </si>
  <si>
    <t>Минкаиров Максим</t>
  </si>
  <si>
    <t>1. Минкаиров Максим</t>
  </si>
  <si>
    <t>Открытая (15.06.1990)/28</t>
  </si>
  <si>
    <t>78,25</t>
  </si>
  <si>
    <t xml:space="preserve">Локтионова Илия </t>
  </si>
  <si>
    <t>ВЕСОВАЯ КАТЕГОРИЯ   100</t>
  </si>
  <si>
    <t>Албаев Рафаиль</t>
  </si>
  <si>
    <t>1. Албаев Рафаиль</t>
  </si>
  <si>
    <t>Открытая (23.03.1980)/38</t>
  </si>
  <si>
    <t>97,30</t>
  </si>
  <si>
    <t xml:space="preserve">Сталь </t>
  </si>
  <si>
    <t>150,0</t>
  </si>
  <si>
    <t>155,0</t>
  </si>
  <si>
    <t>160,0</t>
  </si>
  <si>
    <t xml:space="preserve">Шерман Дмитрий </t>
  </si>
  <si>
    <t>67,5</t>
  </si>
  <si>
    <t>38,7291</t>
  </si>
  <si>
    <t>86,9550</t>
  </si>
  <si>
    <t>57,8970</t>
  </si>
  <si>
    <t>Результат</t>
  </si>
  <si>
    <t>Гран – При России по пауэрлифтингу и его отдельным движениям
ПРО военный жим
Курск/Курская область 23 - 24 ноября 2018 г.</t>
  </si>
  <si>
    <t>Локтионова Илия</t>
  </si>
  <si>
    <t>1. Локтионова Илия</t>
  </si>
  <si>
    <t>Открытая (02.09.1980)/38</t>
  </si>
  <si>
    <t>81,15</t>
  </si>
  <si>
    <t>112,5</t>
  </si>
  <si>
    <t>117,5</t>
  </si>
  <si>
    <t xml:space="preserve">Анпилогов Роман </t>
  </si>
  <si>
    <t>80,0997</t>
  </si>
  <si>
    <t>Гран – При России по пауэрлифтингу и его отдельным движениям
СОВ жим лежа
Курск/Курская область 23 - 24 ноября 2018 г.</t>
  </si>
  <si>
    <t>Новиков Денис</t>
  </si>
  <si>
    <t>1. Новиков Денис</t>
  </si>
  <si>
    <t>Юниоры 20 - 23 (25.09.1997)/21</t>
  </si>
  <si>
    <t>81,85</t>
  </si>
  <si>
    <t>120,0</t>
  </si>
  <si>
    <t xml:space="preserve">Немчинов Александр </t>
  </si>
  <si>
    <t>Косинов Сергей</t>
  </si>
  <si>
    <t>1. Косинов Сергей</t>
  </si>
  <si>
    <t>Открытая (18.01.1994)/24</t>
  </si>
  <si>
    <t>82,40</t>
  </si>
  <si>
    <t>122,5</t>
  </si>
  <si>
    <t>ВЕСОВАЯ КАТЕГОРИЯ   90</t>
  </si>
  <si>
    <t>Акатов Игорь</t>
  </si>
  <si>
    <t>1. Акатов Игорь</t>
  </si>
  <si>
    <t>Мастера 55 - 59 (02.11.1960)/58</t>
  </si>
  <si>
    <t>85,80</t>
  </si>
  <si>
    <t xml:space="preserve">Юниоры </t>
  </si>
  <si>
    <t xml:space="preserve">Юниоры 20 - 23 </t>
  </si>
  <si>
    <t>74,6306</t>
  </si>
  <si>
    <t>72,8265</t>
  </si>
  <si>
    <t xml:space="preserve">Мастера </t>
  </si>
  <si>
    <t xml:space="preserve">Мастера 55 - 59 </t>
  </si>
  <si>
    <t>97,2046</t>
  </si>
  <si>
    <t>Гран – При России по пауэрлифтингу и его отдельным движениям
Любители жим лежа в однослойной экипировке
Курск/Курская область 23 - 24 ноября 2018 г.</t>
  </si>
  <si>
    <t>Гостева Валентина</t>
  </si>
  <si>
    <t>1. Гостева Валентина</t>
  </si>
  <si>
    <t>Мастера 60 - 64 (07.08.1955)/63</t>
  </si>
  <si>
    <t>56,00</t>
  </si>
  <si>
    <t xml:space="preserve">Дородных Владимир </t>
  </si>
  <si>
    <t xml:space="preserve">Мастера 60 - 64 </t>
  </si>
  <si>
    <t>140,3727</t>
  </si>
  <si>
    <t>Гран – При России по пауэрлифтингу и его отдельным движениям
Любители жим лежа без экипировки
Курск/Курская область 23 - 24 ноября 2018 г.</t>
  </si>
  <si>
    <t>ВЕСОВАЯ КАТЕГОРИЯ   48</t>
  </si>
  <si>
    <t>Евдокимова Екатерина</t>
  </si>
  <si>
    <t>1. Евдокимова Екатерина</t>
  </si>
  <si>
    <t>Открытая (16.02.1991)/27</t>
  </si>
  <si>
    <t>47,90</t>
  </si>
  <si>
    <t>ВЕСОВАЯ КАТЕГОРИЯ   52</t>
  </si>
  <si>
    <t>Осадько Елизавета</t>
  </si>
  <si>
    <t>1. Осадько Елизавета</t>
  </si>
  <si>
    <t>Девушки 14-15 (29.10.2003)/15</t>
  </si>
  <si>
    <t>51,70</t>
  </si>
  <si>
    <t xml:space="preserve">АВАЛОН </t>
  </si>
  <si>
    <t xml:space="preserve">Карякин Виталий </t>
  </si>
  <si>
    <t>Беседина Илона</t>
  </si>
  <si>
    <t>1. Беседина Илона</t>
  </si>
  <si>
    <t>Открытая (18.09.1986)/32</t>
  </si>
  <si>
    <t>55,40</t>
  </si>
  <si>
    <t>Зиновьева Татьяна</t>
  </si>
  <si>
    <t>1. Зиновьева Татьяна</t>
  </si>
  <si>
    <t>Мастера 45 - 49 (24.04.1971)/47</t>
  </si>
  <si>
    <t>59,05</t>
  </si>
  <si>
    <t>Васильева Наталья</t>
  </si>
  <si>
    <t>1. Васильева Наталья</t>
  </si>
  <si>
    <t>Открытая (10.12.1979)/38</t>
  </si>
  <si>
    <t>64,20</t>
  </si>
  <si>
    <t>Каримов Тимур</t>
  </si>
  <si>
    <t>1. Каримов Тимур</t>
  </si>
  <si>
    <t>Открытая (28.12.1989)/28</t>
  </si>
  <si>
    <t>59,65</t>
  </si>
  <si>
    <t xml:space="preserve">Губкин/Белгородская область </t>
  </si>
  <si>
    <t>Поляков Денис</t>
  </si>
  <si>
    <t>1. Поляков Денис</t>
  </si>
  <si>
    <t>Юноши 16 - 17 (28.03.2001)/17</t>
  </si>
  <si>
    <t>66,00</t>
  </si>
  <si>
    <t xml:space="preserve">Орёл/Орловская область </t>
  </si>
  <si>
    <t>Лученков Иван</t>
  </si>
  <si>
    <t>1. Лученков Иван</t>
  </si>
  <si>
    <t>Открытая (30.03.1991)/27</t>
  </si>
  <si>
    <t>66,80</t>
  </si>
  <si>
    <t xml:space="preserve">Смоленск/Смоленская область </t>
  </si>
  <si>
    <t>137,5</t>
  </si>
  <si>
    <t>145,0</t>
  </si>
  <si>
    <t>Платонов Владимир</t>
  </si>
  <si>
    <t>-. Платонов Владимир</t>
  </si>
  <si>
    <t>Открытая (12.09.1984)/34</t>
  </si>
  <si>
    <t>63,20</t>
  </si>
  <si>
    <t>ВЕСОВАЯ КАТЕГОРИЯ   75</t>
  </si>
  <si>
    <t>Алмосов Александр</t>
  </si>
  <si>
    <t>1. Алмосов Александр</t>
  </si>
  <si>
    <t>Открытая (15.11.1989)/29</t>
  </si>
  <si>
    <t>73,55</t>
  </si>
  <si>
    <t>130,0</t>
  </si>
  <si>
    <t xml:space="preserve">Ковалёв Андрей </t>
  </si>
  <si>
    <t>Овчинников Евгений</t>
  </si>
  <si>
    <t>2. Овчинников Евгений</t>
  </si>
  <si>
    <t>Открытая (11.08.1994)/24</t>
  </si>
  <si>
    <t>67,70</t>
  </si>
  <si>
    <t>115,0</t>
  </si>
  <si>
    <t>Медведев Илья</t>
  </si>
  <si>
    <t>1. Медведев Илья</t>
  </si>
  <si>
    <t>Открытая (16.07.1994)/24</t>
  </si>
  <si>
    <t>81,00</t>
  </si>
  <si>
    <t>140,0</t>
  </si>
  <si>
    <t>147,5</t>
  </si>
  <si>
    <t>Трофимов Максим</t>
  </si>
  <si>
    <t>2. Трофимов Максим</t>
  </si>
  <si>
    <t>Открытая (19.04.1994)/24</t>
  </si>
  <si>
    <t>79,80</t>
  </si>
  <si>
    <t xml:space="preserve">Тихонов Андрей </t>
  </si>
  <si>
    <t>Шерман Дмитрий</t>
  </si>
  <si>
    <t>1. Шерман Дмитрий</t>
  </si>
  <si>
    <t>Мастера 50 - 54 (28.05.1964)/54</t>
  </si>
  <si>
    <t>142,5</t>
  </si>
  <si>
    <t>Головачев Игорь</t>
  </si>
  <si>
    <t>-. Головачев Игорь</t>
  </si>
  <si>
    <t>Юниоры 20 - 23 (26.01.1997)/21</t>
  </si>
  <si>
    <t>89,40</t>
  </si>
  <si>
    <t>135,0</t>
  </si>
  <si>
    <t>Косинов Олег</t>
  </si>
  <si>
    <t>1. Косинов Олег</t>
  </si>
  <si>
    <t>Открытая (04.01.1982)/36</t>
  </si>
  <si>
    <t>89,45</t>
  </si>
  <si>
    <t>162,5</t>
  </si>
  <si>
    <t>165,0</t>
  </si>
  <si>
    <t>Лашкевич Евгений</t>
  </si>
  <si>
    <t>2. Лашкевич Евгений</t>
  </si>
  <si>
    <t>Открытая (22.06.1988)/30</t>
  </si>
  <si>
    <t>88,60</t>
  </si>
  <si>
    <t>Фарафонов Павел</t>
  </si>
  <si>
    <t>3. Фарафонов Павел</t>
  </si>
  <si>
    <t>Открытая (25.01.1991)/27</t>
  </si>
  <si>
    <t>86,45</t>
  </si>
  <si>
    <t>125,0</t>
  </si>
  <si>
    <t>Дегтярев Дмитрий</t>
  </si>
  <si>
    <t>4. Дегтярев Дмитрий</t>
  </si>
  <si>
    <t>Открытая (25.08.1984)/34</t>
  </si>
  <si>
    <t>87,10</t>
  </si>
  <si>
    <t>Шевченко Александр</t>
  </si>
  <si>
    <t>-. Шевченко Александр</t>
  </si>
  <si>
    <t>Открытая (30.01.1989)/29</t>
  </si>
  <si>
    <t>90,00</t>
  </si>
  <si>
    <t>-. Березин Андрей</t>
  </si>
  <si>
    <t>Мастера 40 - 44 (10.02.1975)/43</t>
  </si>
  <si>
    <t>Мамонов Юрий</t>
  </si>
  <si>
    <t>1. Мамонов Юрий</t>
  </si>
  <si>
    <t>Мастера 50 - 54 (07.04.1966)/52</t>
  </si>
  <si>
    <t>87,45</t>
  </si>
  <si>
    <t xml:space="preserve">Белгород/Белгородская область </t>
  </si>
  <si>
    <t>Карев Александр</t>
  </si>
  <si>
    <t>1. Карев Александр</t>
  </si>
  <si>
    <t>Открытая (25.06.1989)/29</t>
  </si>
  <si>
    <t>98,70</t>
  </si>
  <si>
    <t>170,0</t>
  </si>
  <si>
    <t>177,5</t>
  </si>
  <si>
    <t>Криштапов Иван</t>
  </si>
  <si>
    <t>2. Криштапов Иван</t>
  </si>
  <si>
    <t>Открытая (14.06.1993)/25</t>
  </si>
  <si>
    <t>96,50</t>
  </si>
  <si>
    <t>157,5</t>
  </si>
  <si>
    <t>3. Албаев Рафаиль</t>
  </si>
  <si>
    <t>Сельченко Игорь</t>
  </si>
  <si>
    <t>4. Сельченко Игорь</t>
  </si>
  <si>
    <t>Открытая (31.07.1974)/44</t>
  </si>
  <si>
    <t>96,15</t>
  </si>
  <si>
    <t>Самбур Дмитрий</t>
  </si>
  <si>
    <t>5. Самбур Дмитрий</t>
  </si>
  <si>
    <t>Открытая (12.10.1985)/33</t>
  </si>
  <si>
    <t>98,90</t>
  </si>
  <si>
    <t>1. Сельченко Игорь</t>
  </si>
  <si>
    <t>Мастера 40 - 44 (31.07.1974)/44</t>
  </si>
  <si>
    <t>Дурнов Дмитрий</t>
  </si>
  <si>
    <t>1. Дурнов Дмитрий</t>
  </si>
  <si>
    <t>Открытая (01.09.1985)/33</t>
  </si>
  <si>
    <t>102,00</t>
  </si>
  <si>
    <t>Титаренко Тихон</t>
  </si>
  <si>
    <t>2. Титаренко Тихон</t>
  </si>
  <si>
    <t>Открытая (16.02.1989)/29</t>
  </si>
  <si>
    <t>106,70</t>
  </si>
  <si>
    <t>167,5</t>
  </si>
  <si>
    <t>175,0</t>
  </si>
  <si>
    <t>Остроухов Дмитрий</t>
  </si>
  <si>
    <t>3. Остроухов Дмитрий</t>
  </si>
  <si>
    <t>Открытая (18.05.1989)/29</t>
  </si>
  <si>
    <t>109,20</t>
  </si>
  <si>
    <t>Михеев Вадим</t>
  </si>
  <si>
    <t>1. Михеев Вадим</t>
  </si>
  <si>
    <t>Мастера 50 - 54 (21.04.1966)/52</t>
  </si>
  <si>
    <t>Попов Валерий</t>
  </si>
  <si>
    <t>1. Попов Валерий</t>
  </si>
  <si>
    <t>Мастера 55 - 59 (01.08.1963)/55</t>
  </si>
  <si>
    <t>109,45</t>
  </si>
  <si>
    <t>ВЕСОВАЯ КАТЕГОРИЯ   125</t>
  </si>
  <si>
    <t>Яковлев Дмитрий</t>
  </si>
  <si>
    <t>1. Яковлев Дмитрий</t>
  </si>
  <si>
    <t>Мастера 40 - 44 (02.02.1978)/40</t>
  </si>
  <si>
    <t>115,30</t>
  </si>
  <si>
    <t>52,0</t>
  </si>
  <si>
    <t>51,7141</t>
  </si>
  <si>
    <t>48,0</t>
  </si>
  <si>
    <t>51,8075</t>
  </si>
  <si>
    <t>46,0050</t>
  </si>
  <si>
    <t>28,4620</t>
  </si>
  <si>
    <t xml:space="preserve">Мастера 45 - 49 </t>
  </si>
  <si>
    <t>38,1108</t>
  </si>
  <si>
    <t xml:space="preserve">Мастера 40 - 44 </t>
  </si>
  <si>
    <t>98,2535</t>
  </si>
  <si>
    <t>90,1860</t>
  </si>
  <si>
    <t xml:space="preserve">Юноши 16 - 17 </t>
  </si>
  <si>
    <t>88,0070</t>
  </si>
  <si>
    <t>106,2415</t>
  </si>
  <si>
    <t>96,9375</t>
  </si>
  <si>
    <t>94,7410</t>
  </si>
  <si>
    <t>94,0950</t>
  </si>
  <si>
    <t>93,4150</t>
  </si>
  <si>
    <t>91,5363</t>
  </si>
  <si>
    <t>91,1625</t>
  </si>
  <si>
    <t>90,6175</t>
  </si>
  <si>
    <t>90,0313</t>
  </si>
  <si>
    <t>89,9525</t>
  </si>
  <si>
    <t>88,6500</t>
  </si>
  <si>
    <t>87,7305</t>
  </si>
  <si>
    <t>87,4743</t>
  </si>
  <si>
    <t>79,6290</t>
  </si>
  <si>
    <t>75,0250</t>
  </si>
  <si>
    <t>68,6895</t>
  </si>
  <si>
    <t>66,5805</t>
  </si>
  <si>
    <t>61,2480</t>
  </si>
  <si>
    <t xml:space="preserve">Мастера 50 - 54 </t>
  </si>
  <si>
    <t>115,4068</t>
  </si>
  <si>
    <t>96,3647</t>
  </si>
  <si>
    <t>87,7281</t>
  </si>
  <si>
    <t>86,4387</t>
  </si>
  <si>
    <t>Гран – При России по пауэрлифтингу и его отдельным движениям
ПРО жим лежа без экипировки
Курск/Курская область 23 - 24 ноября 2018 г.</t>
  </si>
  <si>
    <t>Шутеев Роман</t>
  </si>
  <si>
    <t>1. Шутеев Роман</t>
  </si>
  <si>
    <t>Открытая (13.08.1985)/33</t>
  </si>
  <si>
    <t>99,00</t>
  </si>
  <si>
    <t>Юрасов Антон</t>
  </si>
  <si>
    <t>2. Юрасов Антон</t>
  </si>
  <si>
    <t>Открытая (12.12.1986)/31</t>
  </si>
  <si>
    <t>98,00</t>
  </si>
  <si>
    <t>Полужанов Артём</t>
  </si>
  <si>
    <t>1. Полужанов Артём</t>
  </si>
  <si>
    <t>Открытая (25.09.1993)/25</t>
  </si>
  <si>
    <t>101,80</t>
  </si>
  <si>
    <t>190,0</t>
  </si>
  <si>
    <t>205,0</t>
  </si>
  <si>
    <t>Ковалёв Андрей</t>
  </si>
  <si>
    <t>2. Ковалёв Андрей</t>
  </si>
  <si>
    <t>Открытая (14.09.1992)/26</t>
  </si>
  <si>
    <t>108,65</t>
  </si>
  <si>
    <t xml:space="preserve">Милостной Станиалав </t>
  </si>
  <si>
    <t>Рыжков Анатолий</t>
  </si>
  <si>
    <t>1. Рыжков Анатолий</t>
  </si>
  <si>
    <t>Открытая (20.06.1984)/34</t>
  </si>
  <si>
    <t>113,45</t>
  </si>
  <si>
    <t>210,0</t>
  </si>
  <si>
    <t>Гоголь Антон</t>
  </si>
  <si>
    <t>2. Гоголь Антон</t>
  </si>
  <si>
    <t>Открытая (20.05.1979)/39</t>
  </si>
  <si>
    <t>114,90</t>
  </si>
  <si>
    <t>202,5</t>
  </si>
  <si>
    <t>Половков Михаил</t>
  </si>
  <si>
    <t>3. Половков Михаил</t>
  </si>
  <si>
    <t>Открытая (09.10.1977)/41</t>
  </si>
  <si>
    <t>110,90</t>
  </si>
  <si>
    <t>1. Половков Михаил</t>
  </si>
  <si>
    <t>Мастера 40 - 44 (09.10.1977)/41</t>
  </si>
  <si>
    <t>Булатников Роман</t>
  </si>
  <si>
    <t>1. Булатников Роман</t>
  </si>
  <si>
    <t>Мастера 45 - 49 (24.04.1970)/48</t>
  </si>
  <si>
    <t>112,80</t>
  </si>
  <si>
    <t>192,5</t>
  </si>
  <si>
    <t>107,4012</t>
  </si>
  <si>
    <t>111,8880</t>
  </si>
  <si>
    <t>110,0000</t>
  </si>
  <si>
    <t>107,6287</t>
  </si>
  <si>
    <t>107,0800</t>
  </si>
  <si>
    <t>94,6050</t>
  </si>
  <si>
    <t>94,1763</t>
  </si>
  <si>
    <t>86,6605</t>
  </si>
  <si>
    <t>114,6930</t>
  </si>
  <si>
    <t>Гран – При России по пауэрлифтингу и его отдельным движениям
Любители жим лежа в софт экипировке
Курск/Курская область 23 - 24 ноября 2018 г.</t>
  </si>
  <si>
    <t>Селезнев Александр</t>
  </si>
  <si>
    <t>1. Селезнев Александр</t>
  </si>
  <si>
    <t>Открытая (12.04.1986)/32</t>
  </si>
  <si>
    <t>81,80</t>
  </si>
  <si>
    <t xml:space="preserve">Ливны/Орловская область </t>
  </si>
  <si>
    <t xml:space="preserve">Атменеев Виталий </t>
  </si>
  <si>
    <t>109,0250</t>
  </si>
  <si>
    <t>Гран – При России по пауэрлифтингу и его отдельным движениям
СОВ становая тяга
Курск/Курская область 23 - 24 ноября 2018 г.</t>
  </si>
  <si>
    <t>212,5</t>
  </si>
  <si>
    <t>220,0</t>
  </si>
  <si>
    <t>134,9702</t>
  </si>
  <si>
    <t>Гран – При России по пауэрлифтингу и его отдельным движениям
Любители становая тяга без экипировки
Курск/Курская область 23 - 24 ноября 2018 г.</t>
  </si>
  <si>
    <t>Бахтина Алина</t>
  </si>
  <si>
    <t>1. Бахтина Алина</t>
  </si>
  <si>
    <t>Открытая (10.06.1985)/33</t>
  </si>
  <si>
    <t>52,00</t>
  </si>
  <si>
    <t>Николаевская Олеся</t>
  </si>
  <si>
    <t>1. Николаевская Олеся</t>
  </si>
  <si>
    <t>Открытая (26.05.1982)/36</t>
  </si>
  <si>
    <t>54,00</t>
  </si>
  <si>
    <t>59,00</t>
  </si>
  <si>
    <t>Ляхова Полина</t>
  </si>
  <si>
    <t>1. Ляхова Полина</t>
  </si>
  <si>
    <t>Открытая (22.06.1993)/25</t>
  </si>
  <si>
    <t>57,15</t>
  </si>
  <si>
    <t>107,5</t>
  </si>
  <si>
    <t>Прохоров Евгений</t>
  </si>
  <si>
    <t>1. Прохоров Евгений</t>
  </si>
  <si>
    <t>Открытая (19.11.1982)/36</t>
  </si>
  <si>
    <t>57,75</t>
  </si>
  <si>
    <t>Сельченко Максим</t>
  </si>
  <si>
    <t>1. Сельченко Максим</t>
  </si>
  <si>
    <t>Юноши 18 - 19 (29.09.1999)/19</t>
  </si>
  <si>
    <t>66,25</t>
  </si>
  <si>
    <t>Открытая (29.09.1999)/19</t>
  </si>
  <si>
    <t>Алексеев Филипп</t>
  </si>
  <si>
    <t>1. Алексеев Филипп</t>
  </si>
  <si>
    <t>Открытая (26.11.1993)/24</t>
  </si>
  <si>
    <t>72,95</t>
  </si>
  <si>
    <t>Поляков Павел</t>
  </si>
  <si>
    <t>1. Поляков Павел</t>
  </si>
  <si>
    <t>Открытая (13.07.1993)/25</t>
  </si>
  <si>
    <t>79,20</t>
  </si>
  <si>
    <t>197,5</t>
  </si>
  <si>
    <t>Бирюков Владислав</t>
  </si>
  <si>
    <t>2. Бирюков Владислав</t>
  </si>
  <si>
    <t>Открытая (26.07.1994)/24</t>
  </si>
  <si>
    <t>81,05</t>
  </si>
  <si>
    <t>195,0</t>
  </si>
  <si>
    <t>Безуглов Артём</t>
  </si>
  <si>
    <t>3. Безуглов Артём</t>
  </si>
  <si>
    <t>Открытая (02.08.1986)/32</t>
  </si>
  <si>
    <t>80,95</t>
  </si>
  <si>
    <t>4. Минкаиров Максим</t>
  </si>
  <si>
    <t>1. Головачев Игорь</t>
  </si>
  <si>
    <t>Шахов Сергей</t>
  </si>
  <si>
    <t>1. Шахов Сергей</t>
  </si>
  <si>
    <t>Открытая (13.06.1987)/31</t>
  </si>
  <si>
    <t>88,10</t>
  </si>
  <si>
    <t>260,0</t>
  </si>
  <si>
    <t>270,0</t>
  </si>
  <si>
    <t>Манжос Артур</t>
  </si>
  <si>
    <t>2. Манжос Артур</t>
  </si>
  <si>
    <t>Открытая (10.08.1993)/25</t>
  </si>
  <si>
    <t>89,90</t>
  </si>
  <si>
    <t>Лукьянченков Владимир</t>
  </si>
  <si>
    <t>3. Лукьянченков Владимир</t>
  </si>
  <si>
    <t>Открытая (23.12.1959)/58</t>
  </si>
  <si>
    <t>88,75</t>
  </si>
  <si>
    <t>187,5</t>
  </si>
  <si>
    <t>1. Лукьянченков Владимир</t>
  </si>
  <si>
    <t>Мастера 55 - 59 (23.12.1959)/58</t>
  </si>
  <si>
    <t>Гусев Александр</t>
  </si>
  <si>
    <t>1. Гусев Александр</t>
  </si>
  <si>
    <t>Открытая (08.08.1973)/45</t>
  </si>
  <si>
    <t>98,30</t>
  </si>
  <si>
    <t>247,5</t>
  </si>
  <si>
    <t>Мазепа Денис</t>
  </si>
  <si>
    <t>2. Мазепа Денис</t>
  </si>
  <si>
    <t>Открытая (18.12.1981)/36</t>
  </si>
  <si>
    <t>97,85</t>
  </si>
  <si>
    <t>Мастера 45 - 49 (08.08.1973)/45</t>
  </si>
  <si>
    <t>Крымов Григорий</t>
  </si>
  <si>
    <t>1. Крымов Григорий</t>
  </si>
  <si>
    <t>Юниоры 20 - 23 (19.01.1995)/23</t>
  </si>
  <si>
    <t>105,00</t>
  </si>
  <si>
    <t>217,5</t>
  </si>
  <si>
    <t>Открытая (19.01.1995)/23</t>
  </si>
  <si>
    <t>Волохо Андрей</t>
  </si>
  <si>
    <t>2. Волохо Андрей</t>
  </si>
  <si>
    <t>Открытая (06.07.1975)/43</t>
  </si>
  <si>
    <t>103,25</t>
  </si>
  <si>
    <t>215,0</t>
  </si>
  <si>
    <t>227,5</t>
  </si>
  <si>
    <t>1. Волохо Андрей</t>
  </si>
  <si>
    <t>Мастера 40 - 44 (06.07.1975)/43</t>
  </si>
  <si>
    <t>97,1816</t>
  </si>
  <si>
    <t>101,7817</t>
  </si>
  <si>
    <t>96,2550</t>
  </si>
  <si>
    <t>93,9750</t>
  </si>
  <si>
    <t>56,9240</t>
  </si>
  <si>
    <t>57,1662</t>
  </si>
  <si>
    <t>119,7219</t>
  </si>
  <si>
    <t>115,1592</t>
  </si>
  <si>
    <t>118,2547</t>
  </si>
  <si>
    <t>117,9087</t>
  </si>
  <si>
    <t>154,1800</t>
  </si>
  <si>
    <t>129,1140</t>
  </si>
  <si>
    <t>128,4090</t>
  </si>
  <si>
    <t>125,4100</t>
  </si>
  <si>
    <t>123,1010</t>
  </si>
  <si>
    <t>122,2740</t>
  </si>
  <si>
    <t>120,0685</t>
  </si>
  <si>
    <t>117,6050</t>
  </si>
  <si>
    <t>112,9680</t>
  </si>
  <si>
    <t>110,7300</t>
  </si>
  <si>
    <t>106,2540</t>
  </si>
  <si>
    <t>84,6050</t>
  </si>
  <si>
    <t>70,7630</t>
  </si>
  <si>
    <t>163,0999</t>
  </si>
  <si>
    <t>134,5726</t>
  </si>
  <si>
    <t>Гран – При России по пауэрлифтингу и его отдельным движениям
ПРО становая тяга без экипировки
Курск/Курская область 23 - 24 ноября 2018 г.</t>
  </si>
  <si>
    <t>Осипенков Сергей</t>
  </si>
  <si>
    <t>1. Осипенков Сергей</t>
  </si>
  <si>
    <t>Открытая (12.07.1984)/34</t>
  </si>
  <si>
    <t>86,90</t>
  </si>
  <si>
    <t>235,0</t>
  </si>
  <si>
    <t>245,0</t>
  </si>
  <si>
    <t>Малышко Андрей</t>
  </si>
  <si>
    <t>1. Малышко Андрей</t>
  </si>
  <si>
    <t>Мастера 40 - 44 (30.03.1978)/40</t>
  </si>
  <si>
    <t>92,60</t>
  </si>
  <si>
    <t>Меркулов Виталий</t>
  </si>
  <si>
    <t>1. Меркулов Виталий</t>
  </si>
  <si>
    <t>Открытая (11.06.1990)/28</t>
  </si>
  <si>
    <t>108,50</t>
  </si>
  <si>
    <t>302,5</t>
  </si>
  <si>
    <t>135,3130</t>
  </si>
  <si>
    <t>162,8660</t>
  </si>
  <si>
    <t>149,5500</t>
  </si>
  <si>
    <t>Гриднев Максим</t>
  </si>
  <si>
    <t>120,9180</t>
  </si>
  <si>
    <t>Гран – При России по пауэрлифтингу и его отдельным движениям
Любители присед без экипировки
Курск/Курская область 23 - 24 ноября 2018 г.</t>
  </si>
  <si>
    <t>72,5</t>
  </si>
  <si>
    <t>70,2779</t>
  </si>
  <si>
    <t>Гран – При России по пауэрлифтингу и его отдельным движениям
ПРО присед без экипировки
Курск/Курская область 23 - 24 ноября 2018 г.</t>
  </si>
  <si>
    <t>119,2975</t>
  </si>
  <si>
    <t>Гран – При России по пауэрлифтингу и его отдельным движениям
Силовое двоеборье профессианалы
Курск/Курская область 23 - 24 ноября 2018 г.</t>
  </si>
  <si>
    <t>Булгаков Владимир</t>
  </si>
  <si>
    <t>1. Булгаков Владимир</t>
  </si>
  <si>
    <t>Открытая (15.05.1990)/28</t>
  </si>
  <si>
    <t>122,95</t>
  </si>
  <si>
    <t>320,0</t>
  </si>
  <si>
    <t>340,0</t>
  </si>
  <si>
    <t>350,0</t>
  </si>
  <si>
    <t>555,0</t>
  </si>
  <si>
    <t>290,7090</t>
  </si>
  <si>
    <t>Гран – При России по пауэрлифтингу и его отдельным движениям + народный жим
Любители народный жим (1 вес)
Курск/Курская область 23 - 24 ноября 2018 г.</t>
  </si>
  <si>
    <t>НАП Н.Ж.</t>
  </si>
  <si>
    <t>1. Платонов Владимир</t>
  </si>
  <si>
    <t>19,0</t>
  </si>
  <si>
    <t>23,0</t>
  </si>
  <si>
    <t>1. Шевченко Александр</t>
  </si>
  <si>
    <t>1. Криштапов Иван</t>
  </si>
  <si>
    <t>96,75</t>
  </si>
  <si>
    <t>97,5</t>
  </si>
  <si>
    <t>Маркелов Юрий</t>
  </si>
  <si>
    <t>1. Маркелов Юрий</t>
  </si>
  <si>
    <t>Открытая (14.08.1982)/36</t>
  </si>
  <si>
    <t>109,65</t>
  </si>
  <si>
    <t>17,0</t>
  </si>
  <si>
    <t xml:space="preserve">НАП Н.Ж. </t>
  </si>
  <si>
    <t>1852,5</t>
  </si>
  <si>
    <t>1267,1100</t>
  </si>
  <si>
    <t>1710,0</t>
  </si>
  <si>
    <t>1220,4270</t>
  </si>
  <si>
    <t>1870,0</t>
  </si>
  <si>
    <t>1201,4750</t>
  </si>
  <si>
    <t>1235,0</t>
  </si>
  <si>
    <t>1094,3335</t>
  </si>
  <si>
    <t>1897,5</t>
  </si>
  <si>
    <t>1436,9768</t>
  </si>
  <si>
    <t>Жим мн. повт.</t>
  </si>
  <si>
    <t>Вес</t>
  </si>
  <si>
    <t>Повторы</t>
  </si>
  <si>
    <t>Тоннаж</t>
  </si>
  <si>
    <t>Гран – При России по пауэрлифтингу и его отдельным движениям + народный жим
Профессионалы народный жим (1 вес)
Курск/Курская область 23 - 24 ноября 2018 г.</t>
  </si>
  <si>
    <t>Огневой Николай</t>
  </si>
  <si>
    <t>1. Огневой Николай</t>
  </si>
  <si>
    <t>Открытая (04.06.1981)/37</t>
  </si>
  <si>
    <t>79,30</t>
  </si>
  <si>
    <t>43,0</t>
  </si>
  <si>
    <t xml:space="preserve"> </t>
  </si>
  <si>
    <t>Клюев Игорь</t>
  </si>
  <si>
    <t>1. Клюев Игорь</t>
  </si>
  <si>
    <t>Открытая (04.04.1989)/29</t>
  </si>
  <si>
    <t>84,60</t>
  </si>
  <si>
    <t>3440,0</t>
  </si>
  <si>
    <t>2706,9359</t>
  </si>
  <si>
    <t>2975,0</t>
  </si>
  <si>
    <t>2258,9175</t>
  </si>
  <si>
    <t>Гран – При России по пауэрлифтингу и его отдельным движениям + Русский жим
Русский жим любители 35 кг.
Курск/Курская область 23 - 24 ноября 2018 г.</t>
  </si>
  <si>
    <t>Атлетизм</t>
  </si>
  <si>
    <t>ВЕСОВАЯ КАТЕГОРИЯ   All</t>
  </si>
  <si>
    <t>26,0</t>
  </si>
  <si>
    <t xml:space="preserve">Атлетизм </t>
  </si>
  <si>
    <t>All</t>
  </si>
  <si>
    <t>910,0</t>
  </si>
  <si>
    <t>18,9979</t>
  </si>
  <si>
    <t>Гран – При России по пауэрлифтингу и его отдельным движениям + Русский жим
Русский жим любители 55 кг.
Курск/Курская область 23 - 24 ноября 2018 г.</t>
  </si>
  <si>
    <t>Костин Игорь</t>
  </si>
  <si>
    <t>1. Костин Игорь</t>
  </si>
  <si>
    <t>Юниоры 20 - 23 (17.06.1997)/21</t>
  </si>
  <si>
    <t>77,40</t>
  </si>
  <si>
    <t>1. Безуглов Артём</t>
  </si>
  <si>
    <t>38,0</t>
  </si>
  <si>
    <t>Куликов Андрей</t>
  </si>
  <si>
    <t>2. Куликов Андрей</t>
  </si>
  <si>
    <t>Открытая (27.04.1988)/30</t>
  </si>
  <si>
    <t>79,40</t>
  </si>
  <si>
    <t>Киян Андрей</t>
  </si>
  <si>
    <t>1. Киян Андрей</t>
  </si>
  <si>
    <t>Мастера 40 - 44 (17.06.1974)/44</t>
  </si>
  <si>
    <t>94,10</t>
  </si>
  <si>
    <t xml:space="preserve">Воронеж/Воронежская область </t>
  </si>
  <si>
    <t>257,0</t>
  </si>
  <si>
    <t xml:space="preserve">Голованов Александр </t>
  </si>
  <si>
    <t>Корнилов Дмитрий</t>
  </si>
  <si>
    <t>2. Корнилов Дмитрий</t>
  </si>
  <si>
    <t>Мастера 40 - 44 (19.04.1976)/42</t>
  </si>
  <si>
    <t>73,20</t>
  </si>
  <si>
    <t>13,0</t>
  </si>
  <si>
    <t>2860,0</t>
  </si>
  <si>
    <t>36,9509</t>
  </si>
  <si>
    <t>2090,0</t>
  </si>
  <si>
    <t>25,8184</t>
  </si>
  <si>
    <t>1045,0</t>
  </si>
  <si>
    <t>13,1612</t>
  </si>
  <si>
    <t>14135,0</t>
  </si>
  <si>
    <t>150,2125</t>
  </si>
  <si>
    <t>715,0</t>
  </si>
  <si>
    <t>9,7677</t>
  </si>
  <si>
    <t>Гран – При России по пауэрлифтингу и его отдельным движениям + Русский жим
Русский жим любители 75 кг.
Курск/Курская область 23 - 24 ноября 2018 г.</t>
  </si>
  <si>
    <t>22,0</t>
  </si>
  <si>
    <t>1650,0</t>
  </si>
  <si>
    <t>18,8679</t>
  </si>
  <si>
    <t>Крузина А.А.</t>
  </si>
  <si>
    <t>Баранова К.В.</t>
  </si>
  <si>
    <t>Коробейников Д.Ю.</t>
  </si>
  <si>
    <t>Алмосов А.</t>
  </si>
  <si>
    <t>Горенко А.В.</t>
  </si>
  <si>
    <t>Лыков Н.А.</t>
  </si>
  <si>
    <t>Гран – При России по пауэрлифтингу и его отдельным движениям + народный жим
Профессионалы жимовое двоеборье
Курск/Курская область 23 - 24 ноября 2018 г.</t>
  </si>
  <si>
    <t>150</t>
  </si>
  <si>
    <t>145</t>
  </si>
  <si>
    <t>185</t>
  </si>
  <si>
    <t>188</t>
  </si>
  <si>
    <t>Гран – При России по пауэрлифтингу и его отдельным движениям + народный жим
Любители жимовое двоеборье
Курск/Курская область 23 - 24 ноября 2018 г.</t>
  </si>
  <si>
    <t>164,5</t>
  </si>
  <si>
    <t>1. Глазов Константин</t>
  </si>
  <si>
    <t>Алмосов А.Ю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</si>
</sst>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30.25390625" style="4" bestFit="1" customWidth="1"/>
    <col min="7" max="7" width="5.00390625" style="3" bestFit="1" customWidth="1"/>
    <col min="8" max="8" width="10.375" style="28" bestFit="1" customWidth="1"/>
    <col min="9" max="9" width="7.875" style="4" bestFit="1" customWidth="1"/>
    <col min="10" max="10" width="7.625" style="3" bestFit="1" customWidth="1"/>
    <col min="11" max="11" width="15.75390625" style="4" bestFit="1" customWidth="1"/>
    <col min="12" max="16384" width="9.125" style="3" customWidth="1"/>
  </cols>
  <sheetData>
    <row r="1" spans="1:11" s="2" customFormat="1" ht="28.5" customHeight="1">
      <c r="A1" s="44" t="s">
        <v>660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>
      <c r="A3" s="50" t="s">
        <v>0</v>
      </c>
      <c r="B3" s="52" t="s">
        <v>6</v>
      </c>
      <c r="C3" s="52" t="s">
        <v>7</v>
      </c>
      <c r="D3" s="38" t="s">
        <v>620</v>
      </c>
      <c r="E3" s="38" t="s">
        <v>4</v>
      </c>
      <c r="F3" s="38" t="s">
        <v>8</v>
      </c>
      <c r="G3" s="38" t="s">
        <v>600</v>
      </c>
      <c r="H3" s="38"/>
      <c r="I3" s="38" t="s">
        <v>603</v>
      </c>
      <c r="J3" s="38" t="s">
        <v>3</v>
      </c>
      <c r="K3" s="40" t="s">
        <v>2</v>
      </c>
    </row>
    <row r="4" spans="1:11" s="1" customFormat="1" ht="21" customHeight="1" thickBot="1">
      <c r="A4" s="51"/>
      <c r="B4" s="39"/>
      <c r="C4" s="39"/>
      <c r="D4" s="39"/>
      <c r="E4" s="39"/>
      <c r="F4" s="39"/>
      <c r="G4" s="5" t="s">
        <v>601</v>
      </c>
      <c r="H4" s="26" t="s">
        <v>602</v>
      </c>
      <c r="I4" s="39"/>
      <c r="J4" s="39"/>
      <c r="K4" s="41"/>
    </row>
    <row r="5" spans="1:10" ht="15">
      <c r="A5" s="42" t="s">
        <v>621</v>
      </c>
      <c r="B5" s="43"/>
      <c r="C5" s="43"/>
      <c r="D5" s="43"/>
      <c r="E5" s="43"/>
      <c r="F5" s="43"/>
      <c r="G5" s="43"/>
      <c r="H5" s="43"/>
      <c r="I5" s="43"/>
      <c r="J5" s="43"/>
    </row>
    <row r="6" spans="1:11" ht="12.75">
      <c r="A6" s="12" t="s">
        <v>279</v>
      </c>
      <c r="B6" s="12" t="s">
        <v>280</v>
      </c>
      <c r="C6" s="12" t="s">
        <v>281</v>
      </c>
      <c r="D6" s="12" t="str">
        <f>"1,0000"</f>
        <v>1,0000</v>
      </c>
      <c r="E6" s="12" t="s">
        <v>19</v>
      </c>
      <c r="F6" s="12" t="s">
        <v>282</v>
      </c>
      <c r="G6" s="13" t="s">
        <v>21</v>
      </c>
      <c r="H6" s="32" t="s">
        <v>661</v>
      </c>
      <c r="I6" s="12" t="str">
        <f>"1650,0"</f>
        <v>1650,0</v>
      </c>
      <c r="J6" s="13" t="str">
        <f>"18,8679"</f>
        <v>18,8679</v>
      </c>
      <c r="K6" s="12" t="s">
        <v>76</v>
      </c>
    </row>
    <row r="8" spans="5:6" ht="15">
      <c r="E8" s="15" t="s">
        <v>77</v>
      </c>
      <c r="F8" s="4" t="s">
        <v>664</v>
      </c>
    </row>
    <row r="9" spans="5:6" ht="15">
      <c r="E9" s="15" t="s">
        <v>78</v>
      </c>
      <c r="F9" s="4" t="s">
        <v>665</v>
      </c>
    </row>
    <row r="10" spans="5:6" ht="15">
      <c r="E10" s="15" t="s">
        <v>79</v>
      </c>
      <c r="F10" s="4" t="s">
        <v>666</v>
      </c>
    </row>
    <row r="11" spans="5:6" ht="15">
      <c r="E11" s="15" t="s">
        <v>80</v>
      </c>
      <c r="F11" s="4" t="s">
        <v>667</v>
      </c>
    </row>
    <row r="12" spans="5:6" ht="15">
      <c r="E12" s="15" t="s">
        <v>80</v>
      </c>
      <c r="F12" s="4" t="s">
        <v>669</v>
      </c>
    </row>
    <row r="13" spans="5:6" ht="15">
      <c r="E13" s="15" t="s">
        <v>81</v>
      </c>
      <c r="F13" s="4" t="s">
        <v>668</v>
      </c>
    </row>
    <row r="14" ht="15">
      <c r="E14" s="15"/>
    </row>
    <row r="16" spans="1:2" ht="18">
      <c r="A16" s="16" t="s">
        <v>82</v>
      </c>
      <c r="B16" s="16"/>
    </row>
    <row r="17" spans="1:2" ht="15">
      <c r="A17" s="17" t="s">
        <v>96</v>
      </c>
      <c r="B17" s="17"/>
    </row>
    <row r="18" spans="1:2" ht="14.25">
      <c r="A18" s="19"/>
      <c r="B18" s="20" t="s">
        <v>164</v>
      </c>
    </row>
    <row r="19" spans="1:5" ht="15">
      <c r="A19" s="21" t="s">
        <v>85</v>
      </c>
      <c r="B19" s="21" t="s">
        <v>86</v>
      </c>
      <c r="C19" s="21" t="s">
        <v>87</v>
      </c>
      <c r="D19" s="21" t="s">
        <v>88</v>
      </c>
      <c r="E19" s="21" t="s">
        <v>623</v>
      </c>
    </row>
    <row r="20" spans="1:5" ht="12.75">
      <c r="A20" s="18" t="s">
        <v>278</v>
      </c>
      <c r="B20" s="4" t="s">
        <v>362</v>
      </c>
      <c r="C20" s="4" t="s">
        <v>624</v>
      </c>
      <c r="D20" s="4" t="s">
        <v>662</v>
      </c>
      <c r="E20" s="22" t="s">
        <v>663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PageLayoutView="0" workbookViewId="0" topLeftCell="A1">
      <selection activeCell="F53" sqref="F53:F58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4.7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7.875" style="4" bestFit="1" customWidth="1"/>
    <col min="14" max="16384" width="9.125" style="3" customWidth="1"/>
  </cols>
  <sheetData>
    <row r="1" spans="1:13" s="2" customFormat="1" ht="28.5" customHeight="1">
      <c r="A1" s="44" t="s">
        <v>429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0</v>
      </c>
      <c r="B3" s="52" t="s">
        <v>6</v>
      </c>
      <c r="C3" s="52" t="s">
        <v>7</v>
      </c>
      <c r="D3" s="38" t="s">
        <v>10</v>
      </c>
      <c r="E3" s="38" t="s">
        <v>4</v>
      </c>
      <c r="F3" s="38" t="s">
        <v>8</v>
      </c>
      <c r="G3" s="38" t="s">
        <v>13</v>
      </c>
      <c r="H3" s="38"/>
      <c r="I3" s="38"/>
      <c r="J3" s="38"/>
      <c r="K3" s="38" t="s">
        <v>133</v>
      </c>
      <c r="L3" s="38" t="s">
        <v>3</v>
      </c>
      <c r="M3" s="40" t="s">
        <v>2</v>
      </c>
    </row>
    <row r="4" spans="1:13" s="1" customFormat="1" ht="21" customHeight="1" thickBot="1">
      <c r="A4" s="51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5</v>
      </c>
      <c r="K4" s="39"/>
      <c r="L4" s="39"/>
      <c r="M4" s="41"/>
    </row>
    <row r="5" spans="1:12" ht="15">
      <c r="A5" s="42" t="s">
        <v>181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12" t="s">
        <v>431</v>
      </c>
      <c r="B6" s="12" t="s">
        <v>432</v>
      </c>
      <c r="C6" s="12" t="s">
        <v>433</v>
      </c>
      <c r="D6" s="12" t="str">
        <f>"0,9693"</f>
        <v>0,9693</v>
      </c>
      <c r="E6" s="12" t="s">
        <v>19</v>
      </c>
      <c r="F6" s="12" t="s">
        <v>47</v>
      </c>
      <c r="G6" s="13" t="s">
        <v>40</v>
      </c>
      <c r="H6" s="13" t="s">
        <v>27</v>
      </c>
      <c r="I6" s="13" t="s">
        <v>28</v>
      </c>
      <c r="J6" s="14"/>
      <c r="K6" s="12" t="str">
        <f>"105,0"</f>
        <v>105,0</v>
      </c>
      <c r="L6" s="13" t="str">
        <f>"101,7817"</f>
        <v>101,7817</v>
      </c>
      <c r="M6" s="12" t="s">
        <v>118</v>
      </c>
    </row>
    <row r="8" spans="1:12" ht="15">
      <c r="A8" s="53" t="s">
        <v>42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3" ht="12.75">
      <c r="A9" s="12" t="s">
        <v>435</v>
      </c>
      <c r="B9" s="12" t="s">
        <v>436</v>
      </c>
      <c r="C9" s="12" t="s">
        <v>437</v>
      </c>
      <c r="D9" s="12" t="str">
        <f>"0,9398"</f>
        <v>0,9398</v>
      </c>
      <c r="E9" s="12" t="s">
        <v>58</v>
      </c>
      <c r="F9" s="12" t="s">
        <v>47</v>
      </c>
      <c r="G9" s="14" t="s">
        <v>27</v>
      </c>
      <c r="H9" s="13" t="s">
        <v>27</v>
      </c>
      <c r="I9" s="14" t="s">
        <v>28</v>
      </c>
      <c r="J9" s="14"/>
      <c r="K9" s="12" t="str">
        <f>"100,0"</f>
        <v>100,0</v>
      </c>
      <c r="L9" s="13" t="str">
        <f>"93,9750"</f>
        <v>93,9750</v>
      </c>
      <c r="M9" s="12" t="s">
        <v>118</v>
      </c>
    </row>
    <row r="11" spans="1:12" ht="15">
      <c r="A11" s="53" t="s">
        <v>14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3" ht="12.75">
      <c r="A12" s="6" t="s">
        <v>16</v>
      </c>
      <c r="B12" s="6" t="s">
        <v>17</v>
      </c>
      <c r="C12" s="6" t="s">
        <v>438</v>
      </c>
      <c r="D12" s="6" t="str">
        <f>"0,8731"</f>
        <v>0,8731</v>
      </c>
      <c r="E12" s="6" t="s">
        <v>19</v>
      </c>
      <c r="F12" s="6" t="s">
        <v>20</v>
      </c>
      <c r="G12" s="8" t="s">
        <v>27</v>
      </c>
      <c r="H12" s="7" t="s">
        <v>28</v>
      </c>
      <c r="I12" s="8" t="s">
        <v>28</v>
      </c>
      <c r="J12" s="7"/>
      <c r="K12" s="6" t="str">
        <f>"105,0"</f>
        <v>105,0</v>
      </c>
      <c r="L12" s="8" t="str">
        <f>"97,1816"</f>
        <v>97,1816</v>
      </c>
      <c r="M12" s="6" t="s">
        <v>29</v>
      </c>
    </row>
    <row r="13" spans="1:13" ht="12.75">
      <c r="A13" s="23" t="s">
        <v>440</v>
      </c>
      <c r="B13" s="23" t="s">
        <v>441</v>
      </c>
      <c r="C13" s="23" t="s">
        <v>442</v>
      </c>
      <c r="D13" s="23" t="str">
        <f>"0,8556"</f>
        <v>0,8556</v>
      </c>
      <c r="E13" s="23" t="s">
        <v>34</v>
      </c>
      <c r="F13" s="23" t="s">
        <v>35</v>
      </c>
      <c r="G13" s="25" t="s">
        <v>27</v>
      </c>
      <c r="H13" s="25" t="s">
        <v>443</v>
      </c>
      <c r="I13" s="25" t="s">
        <v>139</v>
      </c>
      <c r="J13" s="24"/>
      <c r="K13" s="23" t="str">
        <f>"112,5"</f>
        <v>112,5</v>
      </c>
      <c r="L13" s="25" t="str">
        <f>"96,2550"</f>
        <v>96,2550</v>
      </c>
      <c r="M13" s="23" t="s">
        <v>41</v>
      </c>
    </row>
    <row r="14" spans="1:13" ht="12.75">
      <c r="A14" s="9" t="s">
        <v>193</v>
      </c>
      <c r="B14" s="9" t="s">
        <v>194</v>
      </c>
      <c r="C14" s="9" t="s">
        <v>195</v>
      </c>
      <c r="D14" s="9" t="str">
        <f>"0,8725"</f>
        <v>0,8725</v>
      </c>
      <c r="E14" s="9" t="s">
        <v>58</v>
      </c>
      <c r="F14" s="9" t="s">
        <v>47</v>
      </c>
      <c r="G14" s="10" t="s">
        <v>50</v>
      </c>
      <c r="H14" s="10" t="s">
        <v>59</v>
      </c>
      <c r="I14" s="11" t="s">
        <v>60</v>
      </c>
      <c r="J14" s="11"/>
      <c r="K14" s="9" t="str">
        <f>"60,0"</f>
        <v>60,0</v>
      </c>
      <c r="L14" s="10" t="str">
        <f>"57,1662"</f>
        <v>57,1662</v>
      </c>
      <c r="M14" s="9" t="s">
        <v>118</v>
      </c>
    </row>
    <row r="16" spans="1:12" ht="15">
      <c r="A16" s="53" t="s">
        <v>108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3" ht="12.75">
      <c r="A17" s="12" t="s">
        <v>197</v>
      </c>
      <c r="B17" s="12" t="s">
        <v>198</v>
      </c>
      <c r="C17" s="12" t="s">
        <v>199</v>
      </c>
      <c r="D17" s="12" t="str">
        <f>"0,8132"</f>
        <v>0,8132</v>
      </c>
      <c r="E17" s="12" t="s">
        <v>58</v>
      </c>
      <c r="F17" s="12" t="s">
        <v>47</v>
      </c>
      <c r="G17" s="13" t="s">
        <v>39</v>
      </c>
      <c r="H17" s="13" t="s">
        <v>59</v>
      </c>
      <c r="I17" s="13" t="s">
        <v>61</v>
      </c>
      <c r="J17" s="14"/>
      <c r="K17" s="12" t="str">
        <f>"70,0"</f>
        <v>70,0</v>
      </c>
      <c r="L17" s="13" t="str">
        <f>"56,9240"</f>
        <v>56,9240</v>
      </c>
      <c r="M17" s="12" t="s">
        <v>118</v>
      </c>
    </row>
    <row r="19" spans="1:12" ht="15">
      <c r="A19" s="53" t="s">
        <v>14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1:13" ht="12.75">
      <c r="A20" s="12" t="s">
        <v>445</v>
      </c>
      <c r="B20" s="12" t="s">
        <v>446</v>
      </c>
      <c r="C20" s="12" t="s">
        <v>447</v>
      </c>
      <c r="D20" s="12" t="str">
        <f>"0,8461"</f>
        <v>0,8461</v>
      </c>
      <c r="E20" s="12" t="s">
        <v>58</v>
      </c>
      <c r="F20" s="12" t="s">
        <v>47</v>
      </c>
      <c r="G20" s="13" t="s">
        <v>27</v>
      </c>
      <c r="H20" s="14" t="s">
        <v>104</v>
      </c>
      <c r="I20" s="14" t="s">
        <v>104</v>
      </c>
      <c r="J20" s="14"/>
      <c r="K20" s="12" t="str">
        <f>"100,0"</f>
        <v>100,0</v>
      </c>
      <c r="L20" s="13" t="str">
        <f>"84,6050"</f>
        <v>84,6050</v>
      </c>
      <c r="M20" s="12" t="s">
        <v>118</v>
      </c>
    </row>
    <row r="22" spans="1:12" ht="15">
      <c r="A22" s="53" t="s">
        <v>108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3" ht="12.75">
      <c r="A23" s="6" t="s">
        <v>449</v>
      </c>
      <c r="B23" s="6" t="s">
        <v>450</v>
      </c>
      <c r="C23" s="6" t="s">
        <v>451</v>
      </c>
      <c r="D23" s="6" t="str">
        <f>"0,7382"</f>
        <v>0,7382</v>
      </c>
      <c r="E23" s="6" t="s">
        <v>124</v>
      </c>
      <c r="F23" s="6" t="s">
        <v>20</v>
      </c>
      <c r="G23" s="7" t="s">
        <v>125</v>
      </c>
      <c r="H23" s="7" t="s">
        <v>125</v>
      </c>
      <c r="I23" s="8" t="s">
        <v>125</v>
      </c>
      <c r="J23" s="7"/>
      <c r="K23" s="6" t="str">
        <f>"150,0"</f>
        <v>150,0</v>
      </c>
      <c r="L23" s="8" t="str">
        <f>"115,1592"</f>
        <v>115,1592</v>
      </c>
      <c r="M23" s="6" t="s">
        <v>128</v>
      </c>
    </row>
    <row r="24" spans="1:13" ht="12.75">
      <c r="A24" s="9" t="s">
        <v>449</v>
      </c>
      <c r="B24" s="9" t="s">
        <v>452</v>
      </c>
      <c r="C24" s="9" t="s">
        <v>451</v>
      </c>
      <c r="D24" s="9" t="str">
        <f>"0,7382"</f>
        <v>0,7382</v>
      </c>
      <c r="E24" s="9" t="s">
        <v>124</v>
      </c>
      <c r="F24" s="9" t="s">
        <v>20</v>
      </c>
      <c r="G24" s="11" t="s">
        <v>125</v>
      </c>
      <c r="H24" s="11" t="s">
        <v>125</v>
      </c>
      <c r="I24" s="10" t="s">
        <v>125</v>
      </c>
      <c r="J24" s="11"/>
      <c r="K24" s="9" t="str">
        <f>"150,0"</f>
        <v>150,0</v>
      </c>
      <c r="L24" s="10" t="str">
        <f>"110,7300"</f>
        <v>110,7300</v>
      </c>
      <c r="M24" s="9" t="s">
        <v>128</v>
      </c>
    </row>
    <row r="26" spans="1:12" ht="15">
      <c r="A26" s="53" t="s">
        <v>221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7" spans="1:13" ht="12.75">
      <c r="A27" s="12" t="s">
        <v>454</v>
      </c>
      <c r="B27" s="12" t="s">
        <v>455</v>
      </c>
      <c r="C27" s="12" t="s">
        <v>456</v>
      </c>
      <c r="D27" s="12" t="str">
        <f>"0,6793"</f>
        <v>0,6793</v>
      </c>
      <c r="E27" s="12" t="s">
        <v>186</v>
      </c>
      <c r="F27" s="12" t="s">
        <v>47</v>
      </c>
      <c r="G27" s="13" t="s">
        <v>127</v>
      </c>
      <c r="H27" s="13" t="s">
        <v>71</v>
      </c>
      <c r="I27" s="14"/>
      <c r="J27" s="14"/>
      <c r="K27" s="12" t="str">
        <f>"180,0"</f>
        <v>180,0</v>
      </c>
      <c r="L27" s="13" t="str">
        <f>"122,2740"</f>
        <v>122,2740</v>
      </c>
      <c r="M27" s="12" t="s">
        <v>187</v>
      </c>
    </row>
    <row r="29" spans="1:12" ht="15">
      <c r="A29" s="53" t="s">
        <v>113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</row>
    <row r="30" spans="1:13" ht="12.75">
      <c r="A30" s="6" t="s">
        <v>458</v>
      </c>
      <c r="B30" s="6" t="s">
        <v>459</v>
      </c>
      <c r="C30" s="6" t="s">
        <v>460</v>
      </c>
      <c r="D30" s="6" t="str">
        <f>"0,6376"</f>
        <v>0,6376</v>
      </c>
      <c r="E30" s="6" t="s">
        <v>34</v>
      </c>
      <c r="F30" s="6" t="s">
        <v>35</v>
      </c>
      <c r="G30" s="8" t="s">
        <v>380</v>
      </c>
      <c r="H30" s="8" t="s">
        <v>461</v>
      </c>
      <c r="I30" s="8" t="s">
        <v>396</v>
      </c>
      <c r="J30" s="7"/>
      <c r="K30" s="6" t="str">
        <f>"202,5"</f>
        <v>202,5</v>
      </c>
      <c r="L30" s="8" t="str">
        <f>"129,1140"</f>
        <v>129,1140</v>
      </c>
      <c r="M30" s="6" t="s">
        <v>41</v>
      </c>
    </row>
    <row r="31" spans="1:13" ht="12.75">
      <c r="A31" s="23" t="s">
        <v>463</v>
      </c>
      <c r="B31" s="23" t="s">
        <v>464</v>
      </c>
      <c r="C31" s="23" t="s">
        <v>465</v>
      </c>
      <c r="D31" s="23" t="str">
        <f>"0,6270"</f>
        <v>0,6270</v>
      </c>
      <c r="E31" s="23" t="s">
        <v>186</v>
      </c>
      <c r="F31" s="23" t="s">
        <v>47</v>
      </c>
      <c r="G31" s="25" t="s">
        <v>380</v>
      </c>
      <c r="H31" s="25" t="s">
        <v>466</v>
      </c>
      <c r="I31" s="25" t="s">
        <v>70</v>
      </c>
      <c r="J31" s="24"/>
      <c r="K31" s="23" t="str">
        <f>"200,0"</f>
        <v>200,0</v>
      </c>
      <c r="L31" s="25" t="str">
        <f>"125,4100"</f>
        <v>125,4100</v>
      </c>
      <c r="M31" s="23" t="s">
        <v>187</v>
      </c>
    </row>
    <row r="32" spans="1:13" ht="12.75">
      <c r="A32" s="23" t="s">
        <v>468</v>
      </c>
      <c r="B32" s="23" t="s">
        <v>469</v>
      </c>
      <c r="C32" s="23" t="s">
        <v>470</v>
      </c>
      <c r="D32" s="23" t="str">
        <f>"0,6276"</f>
        <v>0,6276</v>
      </c>
      <c r="E32" s="23" t="s">
        <v>58</v>
      </c>
      <c r="F32" s="23" t="s">
        <v>47</v>
      </c>
      <c r="G32" s="24" t="s">
        <v>127</v>
      </c>
      <c r="H32" s="24" t="s">
        <v>127</v>
      </c>
      <c r="I32" s="25" t="s">
        <v>71</v>
      </c>
      <c r="J32" s="24"/>
      <c r="K32" s="23" t="str">
        <f>"180,0"</f>
        <v>180,0</v>
      </c>
      <c r="L32" s="25" t="str">
        <f>"112,9680"</f>
        <v>112,9680</v>
      </c>
      <c r="M32" s="23" t="s">
        <v>118</v>
      </c>
    </row>
    <row r="33" spans="1:13" ht="12.75">
      <c r="A33" s="9" t="s">
        <v>471</v>
      </c>
      <c r="B33" s="9" t="s">
        <v>116</v>
      </c>
      <c r="C33" s="9" t="s">
        <v>117</v>
      </c>
      <c r="D33" s="9" t="str">
        <f>"0,6433"</f>
        <v>0,6433</v>
      </c>
      <c r="E33" s="9" t="s">
        <v>58</v>
      </c>
      <c r="F33" s="9" t="s">
        <v>47</v>
      </c>
      <c r="G33" s="10" t="s">
        <v>104</v>
      </c>
      <c r="H33" s="11" t="s">
        <v>148</v>
      </c>
      <c r="I33" s="11" t="s">
        <v>148</v>
      </c>
      <c r="J33" s="11"/>
      <c r="K33" s="9" t="str">
        <f>"110,0"</f>
        <v>110,0</v>
      </c>
      <c r="L33" s="10" t="str">
        <f>"70,7630"</f>
        <v>70,7630</v>
      </c>
      <c r="M33" s="9" t="s">
        <v>118</v>
      </c>
    </row>
    <row r="35" spans="1:12" ht="15">
      <c r="A35" s="53" t="s">
        <v>155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3" ht="12.75">
      <c r="A36" s="6" t="s">
        <v>472</v>
      </c>
      <c r="B36" s="6" t="s">
        <v>250</v>
      </c>
      <c r="C36" s="6" t="s">
        <v>275</v>
      </c>
      <c r="D36" s="6" t="str">
        <f>"0,5853"</f>
        <v>0,5853</v>
      </c>
      <c r="E36" s="6" t="s">
        <v>19</v>
      </c>
      <c r="F36" s="6" t="s">
        <v>47</v>
      </c>
      <c r="G36" s="8" t="s">
        <v>71</v>
      </c>
      <c r="H36" s="8" t="s">
        <v>461</v>
      </c>
      <c r="I36" s="7" t="s">
        <v>381</v>
      </c>
      <c r="J36" s="7"/>
      <c r="K36" s="6" t="str">
        <f>"197,5"</f>
        <v>197,5</v>
      </c>
      <c r="L36" s="8" t="str">
        <f>"117,9087"</f>
        <v>117,9087</v>
      </c>
      <c r="M36" s="6" t="s">
        <v>76</v>
      </c>
    </row>
    <row r="37" spans="1:13" ht="12.75">
      <c r="A37" s="23" t="s">
        <v>474</v>
      </c>
      <c r="B37" s="23" t="s">
        <v>475</v>
      </c>
      <c r="C37" s="23" t="s">
        <v>476</v>
      </c>
      <c r="D37" s="23" t="str">
        <f>"0,5930"</f>
        <v>0,5930</v>
      </c>
      <c r="E37" s="23" t="s">
        <v>58</v>
      </c>
      <c r="F37" s="23" t="s">
        <v>47</v>
      </c>
      <c r="G37" s="25" t="s">
        <v>100</v>
      </c>
      <c r="H37" s="25" t="s">
        <v>477</v>
      </c>
      <c r="I37" s="24" t="s">
        <v>478</v>
      </c>
      <c r="J37" s="24"/>
      <c r="K37" s="23" t="str">
        <f>"260,0"</f>
        <v>260,0</v>
      </c>
      <c r="L37" s="25" t="str">
        <f>"154,1800"</f>
        <v>154,1800</v>
      </c>
      <c r="M37" s="23" t="s">
        <v>118</v>
      </c>
    </row>
    <row r="38" spans="1:13" ht="12.75">
      <c r="A38" s="23" t="s">
        <v>480</v>
      </c>
      <c r="B38" s="23" t="s">
        <v>481</v>
      </c>
      <c r="C38" s="23" t="s">
        <v>482</v>
      </c>
      <c r="D38" s="23" t="str">
        <f>"0,5857"</f>
        <v>0,5857</v>
      </c>
      <c r="E38" s="23" t="s">
        <v>186</v>
      </c>
      <c r="F38" s="23" t="s">
        <v>47</v>
      </c>
      <c r="G38" s="25" t="s">
        <v>72</v>
      </c>
      <c r="H38" s="25" t="s">
        <v>461</v>
      </c>
      <c r="I38" s="25" t="s">
        <v>381</v>
      </c>
      <c r="J38" s="24"/>
      <c r="K38" s="23" t="str">
        <f>"205,0"</f>
        <v>205,0</v>
      </c>
      <c r="L38" s="25" t="str">
        <f>"120,0685"</f>
        <v>120,0685</v>
      </c>
      <c r="M38" s="23" t="s">
        <v>187</v>
      </c>
    </row>
    <row r="39" spans="1:13" ht="12.75">
      <c r="A39" s="23" t="s">
        <v>484</v>
      </c>
      <c r="B39" s="23" t="s">
        <v>485</v>
      </c>
      <c r="C39" s="23" t="s">
        <v>486</v>
      </c>
      <c r="D39" s="23" t="str">
        <f>"0,5903"</f>
        <v>0,5903</v>
      </c>
      <c r="E39" s="23" t="s">
        <v>124</v>
      </c>
      <c r="F39" s="23" t="s">
        <v>20</v>
      </c>
      <c r="G39" s="25" t="s">
        <v>258</v>
      </c>
      <c r="H39" s="25" t="s">
        <v>71</v>
      </c>
      <c r="I39" s="24" t="s">
        <v>487</v>
      </c>
      <c r="J39" s="24"/>
      <c r="K39" s="23" t="str">
        <f>"180,0"</f>
        <v>180,0</v>
      </c>
      <c r="L39" s="25" t="str">
        <f>"106,2540"</f>
        <v>106,2540</v>
      </c>
      <c r="M39" s="23" t="s">
        <v>128</v>
      </c>
    </row>
    <row r="40" spans="1:13" ht="12.75">
      <c r="A40" s="9" t="s">
        <v>488</v>
      </c>
      <c r="B40" s="9" t="s">
        <v>489</v>
      </c>
      <c r="C40" s="9" t="s">
        <v>486</v>
      </c>
      <c r="D40" s="9" t="str">
        <f>"0,5903"</f>
        <v>0,5903</v>
      </c>
      <c r="E40" s="9" t="s">
        <v>124</v>
      </c>
      <c r="F40" s="9" t="s">
        <v>20</v>
      </c>
      <c r="G40" s="10" t="s">
        <v>258</v>
      </c>
      <c r="H40" s="10" t="s">
        <v>71</v>
      </c>
      <c r="I40" s="11" t="s">
        <v>487</v>
      </c>
      <c r="J40" s="11"/>
      <c r="K40" s="9" t="str">
        <f>"180,0"</f>
        <v>180,0</v>
      </c>
      <c r="L40" s="10" t="str">
        <f>"163,0999"</f>
        <v>163,0999</v>
      </c>
      <c r="M40" s="9" t="s">
        <v>128</v>
      </c>
    </row>
    <row r="42" spans="1:12" ht="15">
      <c r="A42" s="53" t="s">
        <v>119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spans="1:13" ht="12.75">
      <c r="A43" s="6" t="s">
        <v>491</v>
      </c>
      <c r="B43" s="6" t="s">
        <v>492</v>
      </c>
      <c r="C43" s="6" t="s">
        <v>493</v>
      </c>
      <c r="D43" s="6" t="str">
        <f>"0,5583"</f>
        <v>0,5583</v>
      </c>
      <c r="E43" s="6" t="s">
        <v>58</v>
      </c>
      <c r="F43" s="6" t="s">
        <v>47</v>
      </c>
      <c r="G43" s="8" t="s">
        <v>94</v>
      </c>
      <c r="H43" s="7" t="s">
        <v>494</v>
      </c>
      <c r="I43" s="7" t="s">
        <v>494</v>
      </c>
      <c r="J43" s="7"/>
      <c r="K43" s="6" t="str">
        <f>"230,0"</f>
        <v>230,0</v>
      </c>
      <c r="L43" s="8" t="str">
        <f>"128,4090"</f>
        <v>128,4090</v>
      </c>
      <c r="M43" s="6" t="s">
        <v>118</v>
      </c>
    </row>
    <row r="44" spans="1:13" ht="12.75">
      <c r="A44" s="23" t="s">
        <v>496</v>
      </c>
      <c r="B44" s="23" t="s">
        <v>497</v>
      </c>
      <c r="C44" s="23" t="s">
        <v>498</v>
      </c>
      <c r="D44" s="23" t="str">
        <f>"0,5595"</f>
        <v>0,5595</v>
      </c>
      <c r="E44" s="23" t="s">
        <v>124</v>
      </c>
      <c r="F44" s="23" t="s">
        <v>20</v>
      </c>
      <c r="G44" s="25" t="s">
        <v>70</v>
      </c>
      <c r="H44" s="25" t="s">
        <v>391</v>
      </c>
      <c r="I44" s="25" t="s">
        <v>427</v>
      </c>
      <c r="J44" s="24"/>
      <c r="K44" s="23" t="str">
        <f>"220,0"</f>
        <v>220,0</v>
      </c>
      <c r="L44" s="25" t="str">
        <f>"123,1010"</f>
        <v>123,1010</v>
      </c>
      <c r="M44" s="23" t="s">
        <v>128</v>
      </c>
    </row>
    <row r="45" spans="1:13" ht="12.75">
      <c r="A45" s="9" t="s">
        <v>491</v>
      </c>
      <c r="B45" s="9" t="s">
        <v>499</v>
      </c>
      <c r="C45" s="9" t="s">
        <v>493</v>
      </c>
      <c r="D45" s="9" t="str">
        <f>"0,5583"</f>
        <v>0,5583</v>
      </c>
      <c r="E45" s="9" t="s">
        <v>58</v>
      </c>
      <c r="F45" s="9" t="s">
        <v>47</v>
      </c>
      <c r="G45" s="10" t="s">
        <v>94</v>
      </c>
      <c r="H45" s="11" t="s">
        <v>494</v>
      </c>
      <c r="I45" s="11" t="s">
        <v>494</v>
      </c>
      <c r="J45" s="11"/>
      <c r="K45" s="9" t="str">
        <f>"230,0"</f>
        <v>230,0</v>
      </c>
      <c r="L45" s="10" t="str">
        <f>"134,5726"</f>
        <v>134,5726</v>
      </c>
      <c r="M45" s="9" t="s">
        <v>118</v>
      </c>
    </row>
    <row r="47" spans="1:12" ht="15">
      <c r="A47" s="53" t="s">
        <v>65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1:13" ht="12.75">
      <c r="A48" s="6" t="s">
        <v>501</v>
      </c>
      <c r="B48" s="6" t="s">
        <v>502</v>
      </c>
      <c r="C48" s="6" t="s">
        <v>503</v>
      </c>
      <c r="D48" s="6" t="str">
        <f>"0,5437"</f>
        <v>0,5437</v>
      </c>
      <c r="E48" s="6" t="s">
        <v>34</v>
      </c>
      <c r="F48" s="6" t="s">
        <v>35</v>
      </c>
      <c r="G48" s="7" t="s">
        <v>391</v>
      </c>
      <c r="H48" s="8" t="s">
        <v>391</v>
      </c>
      <c r="I48" s="8" t="s">
        <v>504</v>
      </c>
      <c r="J48" s="7"/>
      <c r="K48" s="6" t="str">
        <f>"217,5"</f>
        <v>217,5</v>
      </c>
      <c r="L48" s="8" t="str">
        <f>"118,2547"</f>
        <v>118,2547</v>
      </c>
      <c r="M48" s="6" t="s">
        <v>41</v>
      </c>
    </row>
    <row r="49" spans="1:13" ht="12.75">
      <c r="A49" s="23" t="s">
        <v>501</v>
      </c>
      <c r="B49" s="23" t="s">
        <v>505</v>
      </c>
      <c r="C49" s="23" t="s">
        <v>503</v>
      </c>
      <c r="D49" s="23" t="str">
        <f>"0,5437"</f>
        <v>0,5437</v>
      </c>
      <c r="E49" s="23" t="s">
        <v>34</v>
      </c>
      <c r="F49" s="23" t="s">
        <v>35</v>
      </c>
      <c r="G49" s="24" t="s">
        <v>391</v>
      </c>
      <c r="H49" s="25" t="s">
        <v>391</v>
      </c>
      <c r="I49" s="25" t="s">
        <v>504</v>
      </c>
      <c r="J49" s="24"/>
      <c r="K49" s="23" t="str">
        <f>"217,5"</f>
        <v>217,5</v>
      </c>
      <c r="L49" s="25" t="str">
        <f>"118,2547"</f>
        <v>118,2547</v>
      </c>
      <c r="M49" s="23" t="s">
        <v>41</v>
      </c>
    </row>
    <row r="50" spans="1:13" ht="12.75">
      <c r="A50" s="23" t="s">
        <v>507</v>
      </c>
      <c r="B50" s="23" t="s">
        <v>508</v>
      </c>
      <c r="C50" s="23" t="s">
        <v>509</v>
      </c>
      <c r="D50" s="23" t="str">
        <f>"0,5470"</f>
        <v>0,5470</v>
      </c>
      <c r="E50" s="23" t="s">
        <v>124</v>
      </c>
      <c r="F50" s="23" t="s">
        <v>20</v>
      </c>
      <c r="G50" s="25" t="s">
        <v>510</v>
      </c>
      <c r="H50" s="24" t="s">
        <v>91</v>
      </c>
      <c r="I50" s="24" t="s">
        <v>511</v>
      </c>
      <c r="J50" s="24"/>
      <c r="K50" s="23" t="str">
        <f>"215,0"</f>
        <v>215,0</v>
      </c>
      <c r="L50" s="25" t="str">
        <f>"117,6050"</f>
        <v>117,6050</v>
      </c>
      <c r="M50" s="23" t="s">
        <v>128</v>
      </c>
    </row>
    <row r="51" spans="1:13" ht="12.75">
      <c r="A51" s="9" t="s">
        <v>512</v>
      </c>
      <c r="B51" s="9" t="s">
        <v>513</v>
      </c>
      <c r="C51" s="9" t="s">
        <v>509</v>
      </c>
      <c r="D51" s="9" t="str">
        <f>"0,5470"</f>
        <v>0,5470</v>
      </c>
      <c r="E51" s="9" t="s">
        <v>124</v>
      </c>
      <c r="F51" s="9" t="s">
        <v>20</v>
      </c>
      <c r="G51" s="10" t="s">
        <v>510</v>
      </c>
      <c r="H51" s="11" t="s">
        <v>91</v>
      </c>
      <c r="I51" s="11" t="s">
        <v>511</v>
      </c>
      <c r="J51" s="11"/>
      <c r="K51" s="9" t="str">
        <f>"215,0"</f>
        <v>215,0</v>
      </c>
      <c r="L51" s="10" t="str">
        <f>"119,7219"</f>
        <v>119,7219</v>
      </c>
      <c r="M51" s="9" t="s">
        <v>128</v>
      </c>
    </row>
    <row r="53" spans="5:6" ht="15">
      <c r="E53" s="15" t="s">
        <v>77</v>
      </c>
      <c r="F53" s="4" t="s">
        <v>664</v>
      </c>
    </row>
    <row r="54" spans="5:6" ht="15">
      <c r="E54" s="15" t="s">
        <v>78</v>
      </c>
      <c r="F54" s="4" t="s">
        <v>665</v>
      </c>
    </row>
    <row r="55" spans="5:6" ht="15">
      <c r="E55" s="15" t="s">
        <v>79</v>
      </c>
      <c r="F55" s="4" t="s">
        <v>666</v>
      </c>
    </row>
    <row r="56" spans="5:6" ht="15">
      <c r="E56" s="15" t="s">
        <v>80</v>
      </c>
      <c r="F56" s="4" t="s">
        <v>667</v>
      </c>
    </row>
    <row r="57" spans="5:6" ht="15">
      <c r="E57" s="15" t="s">
        <v>80</v>
      </c>
      <c r="F57" s="4" t="s">
        <v>669</v>
      </c>
    </row>
    <row r="58" spans="5:6" ht="15">
      <c r="E58" s="15" t="s">
        <v>81</v>
      </c>
      <c r="F58" s="4" t="s">
        <v>668</v>
      </c>
    </row>
    <row r="59" ht="15">
      <c r="E59" s="15"/>
    </row>
    <row r="61" spans="1:2" ht="18">
      <c r="A61" s="16" t="s">
        <v>82</v>
      </c>
      <c r="B61" s="16"/>
    </row>
    <row r="62" spans="1:2" ht="15">
      <c r="A62" s="17" t="s">
        <v>83</v>
      </c>
      <c r="B62" s="17"/>
    </row>
    <row r="63" spans="1:2" ht="14.25">
      <c r="A63" s="19"/>
      <c r="B63" s="20" t="s">
        <v>84</v>
      </c>
    </row>
    <row r="64" spans="1:5" ht="15">
      <c r="A64" s="21" t="s">
        <v>85</v>
      </c>
      <c r="B64" s="21" t="s">
        <v>86</v>
      </c>
      <c r="C64" s="21" t="s">
        <v>87</v>
      </c>
      <c r="D64" s="21" t="s">
        <v>88</v>
      </c>
      <c r="E64" s="21" t="s">
        <v>89</v>
      </c>
    </row>
    <row r="65" spans="1:5" ht="12.75">
      <c r="A65" s="18" t="s">
        <v>15</v>
      </c>
      <c r="B65" s="4" t="s">
        <v>90</v>
      </c>
      <c r="C65" s="4" t="s">
        <v>59</v>
      </c>
      <c r="D65" s="4" t="s">
        <v>28</v>
      </c>
      <c r="E65" s="22" t="s">
        <v>514</v>
      </c>
    </row>
    <row r="67" spans="1:2" ht="14.25">
      <c r="A67" s="19"/>
      <c r="B67" s="20" t="s">
        <v>93</v>
      </c>
    </row>
    <row r="68" spans="1:5" ht="15">
      <c r="A68" s="21" t="s">
        <v>85</v>
      </c>
      <c r="B68" s="21" t="s">
        <v>86</v>
      </c>
      <c r="C68" s="21" t="s">
        <v>87</v>
      </c>
      <c r="D68" s="21" t="s">
        <v>88</v>
      </c>
      <c r="E68" s="21" t="s">
        <v>89</v>
      </c>
    </row>
    <row r="69" spans="1:5" ht="12.75">
      <c r="A69" s="18" t="s">
        <v>430</v>
      </c>
      <c r="B69" s="4" t="s">
        <v>93</v>
      </c>
      <c r="C69" s="4" t="s">
        <v>331</v>
      </c>
      <c r="D69" s="4" t="s">
        <v>28</v>
      </c>
      <c r="E69" s="22" t="s">
        <v>515</v>
      </c>
    </row>
    <row r="70" spans="1:5" ht="12.75">
      <c r="A70" s="18" t="s">
        <v>439</v>
      </c>
      <c r="B70" s="4" t="s">
        <v>93</v>
      </c>
      <c r="C70" s="4" t="s">
        <v>59</v>
      </c>
      <c r="D70" s="4" t="s">
        <v>139</v>
      </c>
      <c r="E70" s="22" t="s">
        <v>516</v>
      </c>
    </row>
    <row r="71" spans="1:5" ht="12.75">
      <c r="A71" s="18" t="s">
        <v>434</v>
      </c>
      <c r="B71" s="4" t="s">
        <v>93</v>
      </c>
      <c r="C71" s="4" t="s">
        <v>99</v>
      </c>
      <c r="D71" s="4" t="s">
        <v>27</v>
      </c>
      <c r="E71" s="22" t="s">
        <v>517</v>
      </c>
    </row>
    <row r="72" spans="1:5" ht="12.75">
      <c r="A72" s="18" t="s">
        <v>196</v>
      </c>
      <c r="B72" s="4" t="s">
        <v>93</v>
      </c>
      <c r="C72" s="4" t="s">
        <v>129</v>
      </c>
      <c r="D72" s="4" t="s">
        <v>61</v>
      </c>
      <c r="E72" s="22" t="s">
        <v>518</v>
      </c>
    </row>
    <row r="74" spans="1:2" ht="14.25">
      <c r="A74" s="19"/>
      <c r="B74" s="20" t="s">
        <v>164</v>
      </c>
    </row>
    <row r="75" spans="1:5" ht="15">
      <c r="A75" s="21" t="s">
        <v>85</v>
      </c>
      <c r="B75" s="21" t="s">
        <v>86</v>
      </c>
      <c r="C75" s="21" t="s">
        <v>87</v>
      </c>
      <c r="D75" s="21" t="s">
        <v>88</v>
      </c>
      <c r="E75" s="21" t="s">
        <v>89</v>
      </c>
    </row>
    <row r="76" spans="1:5" ht="12.75">
      <c r="A76" s="18" t="s">
        <v>192</v>
      </c>
      <c r="B76" s="4" t="s">
        <v>337</v>
      </c>
      <c r="C76" s="4" t="s">
        <v>59</v>
      </c>
      <c r="D76" s="4" t="s">
        <v>59</v>
      </c>
      <c r="E76" s="22" t="s">
        <v>519</v>
      </c>
    </row>
    <row r="79" spans="1:2" ht="15">
      <c r="A79" s="17" t="s">
        <v>96</v>
      </c>
      <c r="B79" s="17"/>
    </row>
    <row r="80" spans="1:2" ht="14.25">
      <c r="A80" s="19"/>
      <c r="B80" s="20" t="s">
        <v>97</v>
      </c>
    </row>
    <row r="81" spans="1:5" ht="15">
      <c r="A81" s="21" t="s">
        <v>85</v>
      </c>
      <c r="B81" s="21" t="s">
        <v>86</v>
      </c>
      <c r="C81" s="21" t="s">
        <v>87</v>
      </c>
      <c r="D81" s="21" t="s">
        <v>88</v>
      </c>
      <c r="E81" s="21" t="s">
        <v>89</v>
      </c>
    </row>
    <row r="82" spans="1:5" ht="12.75">
      <c r="A82" s="18" t="s">
        <v>506</v>
      </c>
      <c r="B82" s="4" t="s">
        <v>339</v>
      </c>
      <c r="C82" s="4" t="s">
        <v>104</v>
      </c>
      <c r="D82" s="4" t="s">
        <v>510</v>
      </c>
      <c r="E82" s="22" t="s">
        <v>520</v>
      </c>
    </row>
    <row r="83" spans="1:5" ht="12.75">
      <c r="A83" s="18" t="s">
        <v>448</v>
      </c>
      <c r="B83" s="4" t="s">
        <v>90</v>
      </c>
      <c r="C83" s="4" t="s">
        <v>129</v>
      </c>
      <c r="D83" s="4" t="s">
        <v>125</v>
      </c>
      <c r="E83" s="22" t="s">
        <v>521</v>
      </c>
    </row>
    <row r="85" spans="1:2" ht="14.25">
      <c r="A85" s="19"/>
      <c r="B85" s="20" t="s">
        <v>160</v>
      </c>
    </row>
    <row r="86" spans="1:5" ht="15">
      <c r="A86" s="21" t="s">
        <v>85</v>
      </c>
      <c r="B86" s="21" t="s">
        <v>86</v>
      </c>
      <c r="C86" s="21" t="s">
        <v>87</v>
      </c>
      <c r="D86" s="21" t="s">
        <v>88</v>
      </c>
      <c r="E86" s="21" t="s">
        <v>89</v>
      </c>
    </row>
    <row r="87" spans="1:5" ht="12.75">
      <c r="A87" s="18" t="s">
        <v>500</v>
      </c>
      <c r="B87" s="4" t="s">
        <v>161</v>
      </c>
      <c r="C87" s="4" t="s">
        <v>104</v>
      </c>
      <c r="D87" s="4" t="s">
        <v>504</v>
      </c>
      <c r="E87" s="22" t="s">
        <v>522</v>
      </c>
    </row>
    <row r="88" spans="1:5" ht="12.75">
      <c r="A88" s="18" t="s">
        <v>248</v>
      </c>
      <c r="B88" s="4" t="s">
        <v>161</v>
      </c>
      <c r="C88" s="4" t="s">
        <v>36</v>
      </c>
      <c r="D88" s="4" t="s">
        <v>461</v>
      </c>
      <c r="E88" s="22" t="s">
        <v>523</v>
      </c>
    </row>
    <row r="90" spans="1:2" ht="14.25">
      <c r="A90" s="19"/>
      <c r="B90" s="20" t="s">
        <v>93</v>
      </c>
    </row>
    <row r="91" spans="1:5" ht="15">
      <c r="A91" s="21" t="s">
        <v>85</v>
      </c>
      <c r="B91" s="21" t="s">
        <v>86</v>
      </c>
      <c r="C91" s="21" t="s">
        <v>87</v>
      </c>
      <c r="D91" s="21" t="s">
        <v>88</v>
      </c>
      <c r="E91" s="21" t="s">
        <v>89</v>
      </c>
    </row>
    <row r="92" spans="1:5" ht="12.75">
      <c r="A92" s="18" t="s">
        <v>473</v>
      </c>
      <c r="B92" s="4" t="s">
        <v>93</v>
      </c>
      <c r="C92" s="4" t="s">
        <v>36</v>
      </c>
      <c r="D92" s="4" t="s">
        <v>477</v>
      </c>
      <c r="E92" s="22" t="s">
        <v>524</v>
      </c>
    </row>
    <row r="93" spans="1:5" ht="12.75">
      <c r="A93" s="18" t="s">
        <v>457</v>
      </c>
      <c r="B93" s="4" t="s">
        <v>93</v>
      </c>
      <c r="C93" s="4" t="s">
        <v>63</v>
      </c>
      <c r="D93" s="4" t="s">
        <v>396</v>
      </c>
      <c r="E93" s="22" t="s">
        <v>525</v>
      </c>
    </row>
    <row r="94" spans="1:5" ht="12.75">
      <c r="A94" s="18" t="s">
        <v>490</v>
      </c>
      <c r="B94" s="4" t="s">
        <v>93</v>
      </c>
      <c r="C94" s="4" t="s">
        <v>27</v>
      </c>
      <c r="D94" s="4" t="s">
        <v>94</v>
      </c>
      <c r="E94" s="22" t="s">
        <v>526</v>
      </c>
    </row>
    <row r="95" spans="1:5" ht="12.75">
      <c r="A95" s="18" t="s">
        <v>462</v>
      </c>
      <c r="B95" s="4" t="s">
        <v>93</v>
      </c>
      <c r="C95" s="4" t="s">
        <v>63</v>
      </c>
      <c r="D95" s="4" t="s">
        <v>70</v>
      </c>
      <c r="E95" s="22" t="s">
        <v>527</v>
      </c>
    </row>
    <row r="96" spans="1:5" ht="12.75">
      <c r="A96" s="18" t="s">
        <v>495</v>
      </c>
      <c r="B96" s="4" t="s">
        <v>93</v>
      </c>
      <c r="C96" s="4" t="s">
        <v>27</v>
      </c>
      <c r="D96" s="4" t="s">
        <v>427</v>
      </c>
      <c r="E96" s="22" t="s">
        <v>528</v>
      </c>
    </row>
    <row r="97" spans="1:5" ht="12.75">
      <c r="A97" s="18" t="s">
        <v>453</v>
      </c>
      <c r="B97" s="4" t="s">
        <v>93</v>
      </c>
      <c r="C97" s="4" t="s">
        <v>21</v>
      </c>
      <c r="D97" s="4" t="s">
        <v>71</v>
      </c>
      <c r="E97" s="22" t="s">
        <v>529</v>
      </c>
    </row>
    <row r="98" spans="1:5" ht="12.75">
      <c r="A98" s="18" t="s">
        <v>479</v>
      </c>
      <c r="B98" s="4" t="s">
        <v>93</v>
      </c>
      <c r="C98" s="4" t="s">
        <v>36</v>
      </c>
      <c r="D98" s="4" t="s">
        <v>381</v>
      </c>
      <c r="E98" s="22" t="s">
        <v>530</v>
      </c>
    </row>
    <row r="99" spans="1:5" ht="12.75">
      <c r="A99" s="18" t="s">
        <v>500</v>
      </c>
      <c r="B99" s="4" t="s">
        <v>93</v>
      </c>
      <c r="C99" s="4" t="s">
        <v>104</v>
      </c>
      <c r="D99" s="4" t="s">
        <v>504</v>
      </c>
      <c r="E99" s="22" t="s">
        <v>522</v>
      </c>
    </row>
    <row r="100" spans="1:5" ht="12.75">
      <c r="A100" s="18" t="s">
        <v>506</v>
      </c>
      <c r="B100" s="4" t="s">
        <v>93</v>
      </c>
      <c r="C100" s="4" t="s">
        <v>104</v>
      </c>
      <c r="D100" s="4" t="s">
        <v>510</v>
      </c>
      <c r="E100" s="22" t="s">
        <v>531</v>
      </c>
    </row>
    <row r="101" spans="1:5" ht="12.75">
      <c r="A101" s="18" t="s">
        <v>467</v>
      </c>
      <c r="B101" s="4" t="s">
        <v>93</v>
      </c>
      <c r="C101" s="4" t="s">
        <v>63</v>
      </c>
      <c r="D101" s="4" t="s">
        <v>71</v>
      </c>
      <c r="E101" s="22" t="s">
        <v>532</v>
      </c>
    </row>
    <row r="102" spans="1:5" ht="12.75">
      <c r="A102" s="18" t="s">
        <v>448</v>
      </c>
      <c r="B102" s="4" t="s">
        <v>93</v>
      </c>
      <c r="C102" s="4" t="s">
        <v>129</v>
      </c>
      <c r="D102" s="4" t="s">
        <v>125</v>
      </c>
      <c r="E102" s="22" t="s">
        <v>533</v>
      </c>
    </row>
    <row r="103" spans="1:5" ht="12.75">
      <c r="A103" s="18" t="s">
        <v>483</v>
      </c>
      <c r="B103" s="4" t="s">
        <v>93</v>
      </c>
      <c r="C103" s="4" t="s">
        <v>36</v>
      </c>
      <c r="D103" s="4" t="s">
        <v>71</v>
      </c>
      <c r="E103" s="22" t="s">
        <v>534</v>
      </c>
    </row>
    <row r="104" spans="1:5" ht="12.75">
      <c r="A104" s="18" t="s">
        <v>444</v>
      </c>
      <c r="B104" s="4" t="s">
        <v>93</v>
      </c>
      <c r="C104" s="4" t="s">
        <v>59</v>
      </c>
      <c r="D104" s="4" t="s">
        <v>27</v>
      </c>
      <c r="E104" s="22" t="s">
        <v>535</v>
      </c>
    </row>
    <row r="105" spans="1:5" ht="12.75">
      <c r="A105" s="18" t="s">
        <v>114</v>
      </c>
      <c r="B105" s="4" t="s">
        <v>93</v>
      </c>
      <c r="C105" s="4" t="s">
        <v>63</v>
      </c>
      <c r="D105" s="4" t="s">
        <v>104</v>
      </c>
      <c r="E105" s="22" t="s">
        <v>536</v>
      </c>
    </row>
    <row r="107" spans="1:2" ht="14.25">
      <c r="A107" s="19"/>
      <c r="B107" s="20" t="s">
        <v>164</v>
      </c>
    </row>
    <row r="108" spans="1:5" ht="15">
      <c r="A108" s="21" t="s">
        <v>85</v>
      </c>
      <c r="B108" s="21" t="s">
        <v>86</v>
      </c>
      <c r="C108" s="21" t="s">
        <v>87</v>
      </c>
      <c r="D108" s="21" t="s">
        <v>88</v>
      </c>
      <c r="E108" s="21" t="s">
        <v>89</v>
      </c>
    </row>
    <row r="109" spans="1:5" ht="12.75">
      <c r="A109" s="18" t="s">
        <v>483</v>
      </c>
      <c r="B109" s="4" t="s">
        <v>165</v>
      </c>
      <c r="C109" s="4" t="s">
        <v>36</v>
      </c>
      <c r="D109" s="4" t="s">
        <v>71</v>
      </c>
      <c r="E109" s="22" t="s">
        <v>537</v>
      </c>
    </row>
    <row r="110" spans="1:5" ht="12.75">
      <c r="A110" s="18" t="s">
        <v>490</v>
      </c>
      <c r="B110" s="4" t="s">
        <v>337</v>
      </c>
      <c r="C110" s="4" t="s">
        <v>27</v>
      </c>
      <c r="D110" s="4" t="s">
        <v>94</v>
      </c>
      <c r="E110" s="22" t="s">
        <v>538</v>
      </c>
    </row>
    <row r="111" spans="1:5" ht="12.75">
      <c r="A111" s="18" t="s">
        <v>506</v>
      </c>
      <c r="B111" s="4" t="s">
        <v>339</v>
      </c>
      <c r="C111" s="4" t="s">
        <v>104</v>
      </c>
      <c r="D111" s="4" t="s">
        <v>510</v>
      </c>
      <c r="E111" s="22" t="s">
        <v>520</v>
      </c>
    </row>
  </sheetData>
  <sheetProtection/>
  <mergeCells count="22">
    <mergeCell ref="A42:L42"/>
    <mergeCell ref="A47:L47"/>
    <mergeCell ref="A16:L16"/>
    <mergeCell ref="A19:L19"/>
    <mergeCell ref="A22:L22"/>
    <mergeCell ref="A26:L26"/>
    <mergeCell ref="A29:L29"/>
    <mergeCell ref="A35:L35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8" sqref="F8:F13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1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0.25390625" style="4" bestFit="1" customWidth="1"/>
    <col min="14" max="16384" width="9.125" style="3" customWidth="1"/>
  </cols>
  <sheetData>
    <row r="1" spans="1:13" s="2" customFormat="1" ht="28.5" customHeight="1">
      <c r="A1" s="44" t="s">
        <v>425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0</v>
      </c>
      <c r="B3" s="52" t="s">
        <v>6</v>
      </c>
      <c r="C3" s="52" t="s">
        <v>7</v>
      </c>
      <c r="D3" s="38" t="s">
        <v>10</v>
      </c>
      <c r="E3" s="38" t="s">
        <v>4</v>
      </c>
      <c r="F3" s="38" t="s">
        <v>8</v>
      </c>
      <c r="G3" s="38" t="s">
        <v>13</v>
      </c>
      <c r="H3" s="38"/>
      <c r="I3" s="38"/>
      <c r="J3" s="38"/>
      <c r="K3" s="38" t="s">
        <v>133</v>
      </c>
      <c r="L3" s="38" t="s">
        <v>3</v>
      </c>
      <c r="M3" s="40" t="s">
        <v>2</v>
      </c>
    </row>
    <row r="4" spans="1:13" s="1" customFormat="1" ht="21" customHeight="1" thickBot="1">
      <c r="A4" s="51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5</v>
      </c>
      <c r="K4" s="39"/>
      <c r="L4" s="39"/>
      <c r="M4" s="41"/>
    </row>
    <row r="5" spans="1:12" ht="15">
      <c r="A5" s="42" t="s">
        <v>113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12" t="s">
        <v>145</v>
      </c>
      <c r="B6" s="12" t="s">
        <v>146</v>
      </c>
      <c r="C6" s="12" t="s">
        <v>147</v>
      </c>
      <c r="D6" s="12" t="str">
        <f>"0,6227"</f>
        <v>0,6227</v>
      </c>
      <c r="E6" s="12" t="s">
        <v>19</v>
      </c>
      <c r="F6" s="12" t="s">
        <v>47</v>
      </c>
      <c r="G6" s="13" t="s">
        <v>70</v>
      </c>
      <c r="H6" s="13" t="s">
        <v>426</v>
      </c>
      <c r="I6" s="14" t="s">
        <v>427</v>
      </c>
      <c r="J6" s="14"/>
      <c r="K6" s="12" t="str">
        <f>"212,5"</f>
        <v>212,5</v>
      </c>
      <c r="L6" s="13" t="str">
        <f>"134,9702"</f>
        <v>134,9702</v>
      </c>
      <c r="M6" s="12" t="s">
        <v>149</v>
      </c>
    </row>
    <row r="8" spans="5:6" ht="15">
      <c r="E8" s="15" t="s">
        <v>77</v>
      </c>
      <c r="F8" s="4" t="s">
        <v>664</v>
      </c>
    </row>
    <row r="9" spans="5:6" ht="15">
      <c r="E9" s="15" t="s">
        <v>78</v>
      </c>
      <c r="F9" s="4" t="s">
        <v>665</v>
      </c>
    </row>
    <row r="10" spans="5:6" ht="15">
      <c r="E10" s="15" t="s">
        <v>79</v>
      </c>
      <c r="F10" s="4" t="s">
        <v>666</v>
      </c>
    </row>
    <row r="11" spans="5:6" ht="15">
      <c r="E11" s="15" t="s">
        <v>80</v>
      </c>
      <c r="F11" s="4" t="s">
        <v>667</v>
      </c>
    </row>
    <row r="12" spans="5:6" ht="15">
      <c r="E12" s="15" t="s">
        <v>80</v>
      </c>
      <c r="F12" s="4" t="s">
        <v>669</v>
      </c>
    </row>
    <row r="13" spans="5:6" ht="15">
      <c r="E13" s="15" t="s">
        <v>81</v>
      </c>
      <c r="F13" s="4" t="s">
        <v>668</v>
      </c>
    </row>
    <row r="14" ht="15">
      <c r="E14" s="15"/>
    </row>
    <row r="16" spans="1:2" ht="18">
      <c r="A16" s="16" t="s">
        <v>82</v>
      </c>
      <c r="B16" s="16"/>
    </row>
    <row r="17" spans="1:2" ht="15">
      <c r="A17" s="17" t="s">
        <v>96</v>
      </c>
      <c r="B17" s="17"/>
    </row>
    <row r="18" spans="1:2" ht="14.25">
      <c r="A18" s="19"/>
      <c r="B18" s="20" t="s">
        <v>160</v>
      </c>
    </row>
    <row r="19" spans="1:5" ht="15">
      <c r="A19" s="21" t="s">
        <v>85</v>
      </c>
      <c r="B19" s="21" t="s">
        <v>86</v>
      </c>
      <c r="C19" s="21" t="s">
        <v>87</v>
      </c>
      <c r="D19" s="21" t="s">
        <v>88</v>
      </c>
      <c r="E19" s="21" t="s">
        <v>89</v>
      </c>
    </row>
    <row r="20" spans="1:5" ht="12.75">
      <c r="A20" s="18" t="s">
        <v>144</v>
      </c>
      <c r="B20" s="4" t="s">
        <v>161</v>
      </c>
      <c r="C20" s="4" t="s">
        <v>63</v>
      </c>
      <c r="D20" s="4" t="s">
        <v>426</v>
      </c>
      <c r="E20" s="22" t="s">
        <v>428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G3" sqref="G3:J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4.7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7.75390625" style="4" bestFit="1" customWidth="1"/>
    <col min="14" max="16384" width="9.125" style="3" customWidth="1"/>
  </cols>
  <sheetData>
    <row r="1" spans="1:13" s="2" customFormat="1" ht="28.5" customHeight="1">
      <c r="A1" s="44" t="s">
        <v>417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0</v>
      </c>
      <c r="B3" s="52" t="s">
        <v>6</v>
      </c>
      <c r="C3" s="52" t="s">
        <v>7</v>
      </c>
      <c r="D3" s="38" t="s">
        <v>10</v>
      </c>
      <c r="E3" s="38" t="s">
        <v>4</v>
      </c>
      <c r="F3" s="38" t="s">
        <v>8</v>
      </c>
      <c r="G3" s="38" t="s">
        <v>12</v>
      </c>
      <c r="H3" s="38"/>
      <c r="I3" s="38"/>
      <c r="J3" s="38"/>
      <c r="K3" s="38" t="s">
        <v>133</v>
      </c>
      <c r="L3" s="38" t="s">
        <v>3</v>
      </c>
      <c r="M3" s="40" t="s">
        <v>2</v>
      </c>
    </row>
    <row r="4" spans="1:13" s="1" customFormat="1" ht="21" customHeight="1" thickBot="1">
      <c r="A4" s="51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5</v>
      </c>
      <c r="K4" s="39"/>
      <c r="L4" s="39"/>
      <c r="M4" s="41"/>
    </row>
    <row r="5" spans="1:12" ht="15">
      <c r="A5" s="42" t="s">
        <v>113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12" t="s">
        <v>419</v>
      </c>
      <c r="B6" s="12" t="s">
        <v>420</v>
      </c>
      <c r="C6" s="12" t="s">
        <v>421</v>
      </c>
      <c r="D6" s="12" t="str">
        <f>"0,6230"</f>
        <v>0,6230</v>
      </c>
      <c r="E6" s="12" t="s">
        <v>19</v>
      </c>
      <c r="F6" s="12" t="s">
        <v>422</v>
      </c>
      <c r="G6" s="14" t="s">
        <v>258</v>
      </c>
      <c r="H6" s="13" t="s">
        <v>258</v>
      </c>
      <c r="I6" s="13" t="s">
        <v>314</v>
      </c>
      <c r="J6" s="14"/>
      <c r="K6" s="12" t="str">
        <f>"175,0"</f>
        <v>175,0</v>
      </c>
      <c r="L6" s="13" t="str">
        <f>"109,0250"</f>
        <v>109,0250</v>
      </c>
      <c r="M6" s="12" t="s">
        <v>423</v>
      </c>
    </row>
    <row r="8" spans="5:6" ht="15">
      <c r="E8" s="15" t="s">
        <v>77</v>
      </c>
      <c r="F8" s="4" t="s">
        <v>664</v>
      </c>
    </row>
    <row r="9" spans="5:6" ht="15">
      <c r="E9" s="15" t="s">
        <v>78</v>
      </c>
      <c r="F9" s="4" t="s">
        <v>665</v>
      </c>
    </row>
    <row r="10" spans="5:6" ht="15">
      <c r="E10" s="15" t="s">
        <v>79</v>
      </c>
      <c r="F10" s="4" t="s">
        <v>666</v>
      </c>
    </row>
    <row r="11" spans="5:6" ht="15">
      <c r="E11" s="15" t="s">
        <v>80</v>
      </c>
      <c r="F11" s="4" t="s">
        <v>667</v>
      </c>
    </row>
    <row r="12" spans="5:6" ht="15">
      <c r="E12" s="15" t="s">
        <v>80</v>
      </c>
      <c r="F12" s="4" t="s">
        <v>669</v>
      </c>
    </row>
    <row r="13" spans="5:6" ht="15">
      <c r="E13" s="15" t="s">
        <v>81</v>
      </c>
      <c r="F13" s="4" t="s">
        <v>668</v>
      </c>
    </row>
    <row r="14" ht="15">
      <c r="E14" s="15"/>
    </row>
    <row r="16" spans="1:2" ht="18">
      <c r="A16" s="16" t="s">
        <v>82</v>
      </c>
      <c r="B16" s="16"/>
    </row>
    <row r="17" spans="1:2" ht="15">
      <c r="A17" s="17" t="s">
        <v>96</v>
      </c>
      <c r="B17" s="17"/>
    </row>
    <row r="18" spans="1:2" ht="14.25">
      <c r="A18" s="19"/>
      <c r="B18" s="20" t="s">
        <v>93</v>
      </c>
    </row>
    <row r="19" spans="1:5" ht="15">
      <c r="A19" s="21" t="s">
        <v>85</v>
      </c>
      <c r="B19" s="21" t="s">
        <v>86</v>
      </c>
      <c r="C19" s="21" t="s">
        <v>87</v>
      </c>
      <c r="D19" s="21" t="s">
        <v>88</v>
      </c>
      <c r="E19" s="21" t="s">
        <v>89</v>
      </c>
    </row>
    <row r="20" spans="1:5" ht="12.75">
      <c r="A20" s="18" t="s">
        <v>418</v>
      </c>
      <c r="B20" s="4" t="s">
        <v>93</v>
      </c>
      <c r="C20" s="4" t="s">
        <v>63</v>
      </c>
      <c r="D20" s="4" t="s">
        <v>314</v>
      </c>
      <c r="E20" s="22" t="s">
        <v>424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F20" sqref="F20:F25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4.7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0.75390625" style="4" bestFit="1" customWidth="1"/>
    <col min="14" max="16384" width="9.125" style="3" customWidth="1"/>
  </cols>
  <sheetData>
    <row r="1" spans="1:13" s="2" customFormat="1" ht="28.5" customHeight="1">
      <c r="A1" s="44" t="s">
        <v>367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0</v>
      </c>
      <c r="B3" s="52" t="s">
        <v>6</v>
      </c>
      <c r="C3" s="52" t="s">
        <v>7</v>
      </c>
      <c r="D3" s="38" t="s">
        <v>10</v>
      </c>
      <c r="E3" s="38" t="s">
        <v>4</v>
      </c>
      <c r="F3" s="38" t="s">
        <v>8</v>
      </c>
      <c r="G3" s="38" t="s">
        <v>12</v>
      </c>
      <c r="H3" s="38"/>
      <c r="I3" s="38"/>
      <c r="J3" s="38"/>
      <c r="K3" s="38" t="s">
        <v>133</v>
      </c>
      <c r="L3" s="38" t="s">
        <v>3</v>
      </c>
      <c r="M3" s="40" t="s">
        <v>2</v>
      </c>
    </row>
    <row r="4" spans="1:13" s="1" customFormat="1" ht="21" customHeight="1" thickBot="1">
      <c r="A4" s="51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5</v>
      </c>
      <c r="K4" s="39"/>
      <c r="L4" s="39"/>
      <c r="M4" s="41"/>
    </row>
    <row r="5" spans="1:12" ht="15">
      <c r="A5" s="42" t="s">
        <v>119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6" t="s">
        <v>369</v>
      </c>
      <c r="B6" s="6" t="s">
        <v>370</v>
      </c>
      <c r="C6" s="6" t="s">
        <v>371</v>
      </c>
      <c r="D6" s="6" t="str">
        <f>"0,5565"</f>
        <v>0,5565</v>
      </c>
      <c r="E6" s="6" t="s">
        <v>58</v>
      </c>
      <c r="F6" s="6" t="s">
        <v>47</v>
      </c>
      <c r="G6" s="8" t="s">
        <v>125</v>
      </c>
      <c r="H6" s="8" t="s">
        <v>127</v>
      </c>
      <c r="I6" s="8" t="s">
        <v>287</v>
      </c>
      <c r="J6" s="7"/>
      <c r="K6" s="6" t="str">
        <f>"170,0"</f>
        <v>170,0</v>
      </c>
      <c r="L6" s="8" t="str">
        <f>"94,6050"</f>
        <v>94,6050</v>
      </c>
      <c r="M6" s="6" t="s">
        <v>118</v>
      </c>
    </row>
    <row r="7" spans="1:13" ht="12.75">
      <c r="A7" s="9" t="s">
        <v>373</v>
      </c>
      <c r="B7" s="9" t="s">
        <v>374</v>
      </c>
      <c r="C7" s="9" t="s">
        <v>375</v>
      </c>
      <c r="D7" s="9" t="str">
        <f>"0,5591"</f>
        <v>0,5591</v>
      </c>
      <c r="E7" s="9" t="s">
        <v>124</v>
      </c>
      <c r="F7" s="9" t="s">
        <v>20</v>
      </c>
      <c r="G7" s="10" t="s">
        <v>126</v>
      </c>
      <c r="H7" s="11" t="s">
        <v>127</v>
      </c>
      <c r="I7" s="11"/>
      <c r="J7" s="11"/>
      <c r="K7" s="9" t="str">
        <f>"155,0"</f>
        <v>155,0</v>
      </c>
      <c r="L7" s="10" t="str">
        <f>"86,6605"</f>
        <v>86,6605</v>
      </c>
      <c r="M7" s="9" t="s">
        <v>128</v>
      </c>
    </row>
    <row r="9" spans="1:12" ht="15">
      <c r="A9" s="53" t="s">
        <v>65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3" ht="12.75">
      <c r="A10" s="6" t="s">
        <v>377</v>
      </c>
      <c r="B10" s="6" t="s">
        <v>378</v>
      </c>
      <c r="C10" s="6" t="s">
        <v>379</v>
      </c>
      <c r="D10" s="6" t="str">
        <f>"0,5500"</f>
        <v>0,5500</v>
      </c>
      <c r="E10" s="6" t="s">
        <v>124</v>
      </c>
      <c r="F10" s="6" t="s">
        <v>20</v>
      </c>
      <c r="G10" s="8" t="s">
        <v>380</v>
      </c>
      <c r="H10" s="8" t="s">
        <v>70</v>
      </c>
      <c r="I10" s="7" t="s">
        <v>381</v>
      </c>
      <c r="J10" s="7"/>
      <c r="K10" s="6" t="str">
        <f>"200,0"</f>
        <v>200,0</v>
      </c>
      <c r="L10" s="8" t="str">
        <f>"110,0000"</f>
        <v>110,0000</v>
      </c>
      <c r="M10" s="6" t="s">
        <v>128</v>
      </c>
    </row>
    <row r="11" spans="1:13" ht="12.75">
      <c r="A11" s="9" t="s">
        <v>383</v>
      </c>
      <c r="B11" s="9" t="s">
        <v>384</v>
      </c>
      <c r="C11" s="9" t="s">
        <v>385</v>
      </c>
      <c r="D11" s="9" t="str">
        <f>"0,5382"</f>
        <v>0,5382</v>
      </c>
      <c r="E11" s="9" t="s">
        <v>19</v>
      </c>
      <c r="F11" s="9" t="s">
        <v>47</v>
      </c>
      <c r="G11" s="10" t="s">
        <v>287</v>
      </c>
      <c r="H11" s="10" t="s">
        <v>314</v>
      </c>
      <c r="I11" s="11" t="s">
        <v>71</v>
      </c>
      <c r="J11" s="11"/>
      <c r="K11" s="9" t="str">
        <f>"175,0"</f>
        <v>175,0</v>
      </c>
      <c r="L11" s="10" t="str">
        <f>"94,1763"</f>
        <v>94,1763</v>
      </c>
      <c r="M11" s="9" t="s">
        <v>386</v>
      </c>
    </row>
    <row r="13" spans="1:12" ht="15">
      <c r="A13" s="53" t="s">
        <v>326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3" ht="12.75">
      <c r="A14" s="6" t="s">
        <v>388</v>
      </c>
      <c r="B14" s="6" t="s">
        <v>389</v>
      </c>
      <c r="C14" s="6" t="s">
        <v>390</v>
      </c>
      <c r="D14" s="6" t="str">
        <f>"0,5328"</f>
        <v>0,5328</v>
      </c>
      <c r="E14" s="6" t="s">
        <v>19</v>
      </c>
      <c r="F14" s="6" t="s">
        <v>47</v>
      </c>
      <c r="G14" s="8" t="s">
        <v>70</v>
      </c>
      <c r="H14" s="8" t="s">
        <v>381</v>
      </c>
      <c r="I14" s="8" t="s">
        <v>391</v>
      </c>
      <c r="J14" s="7"/>
      <c r="K14" s="6" t="str">
        <f>"210,0"</f>
        <v>210,0</v>
      </c>
      <c r="L14" s="8" t="str">
        <f>"111,8880"</f>
        <v>111,8880</v>
      </c>
      <c r="M14" s="6" t="s">
        <v>386</v>
      </c>
    </row>
    <row r="15" spans="1:13" ht="12.75">
      <c r="A15" s="23" t="s">
        <v>393</v>
      </c>
      <c r="B15" s="23" t="s">
        <v>394</v>
      </c>
      <c r="C15" s="23" t="s">
        <v>395</v>
      </c>
      <c r="D15" s="23" t="str">
        <f>"0,5315"</f>
        <v>0,5315</v>
      </c>
      <c r="E15" s="23" t="s">
        <v>124</v>
      </c>
      <c r="F15" s="23" t="s">
        <v>20</v>
      </c>
      <c r="G15" s="25" t="s">
        <v>71</v>
      </c>
      <c r="H15" s="24" t="s">
        <v>396</v>
      </c>
      <c r="I15" s="25" t="s">
        <v>396</v>
      </c>
      <c r="J15" s="24"/>
      <c r="K15" s="23" t="str">
        <f>"202,5"</f>
        <v>202,5</v>
      </c>
      <c r="L15" s="25" t="str">
        <f>"107,6287"</f>
        <v>107,6287</v>
      </c>
      <c r="M15" s="23" t="s">
        <v>128</v>
      </c>
    </row>
    <row r="16" spans="1:13" ht="12.75">
      <c r="A16" s="23" t="s">
        <v>398</v>
      </c>
      <c r="B16" s="23" t="s">
        <v>399</v>
      </c>
      <c r="C16" s="23" t="s">
        <v>400</v>
      </c>
      <c r="D16" s="23" t="str">
        <f>"0,5354"</f>
        <v>0,5354</v>
      </c>
      <c r="E16" s="23" t="s">
        <v>34</v>
      </c>
      <c r="F16" s="23" t="s">
        <v>35</v>
      </c>
      <c r="G16" s="25" t="s">
        <v>72</v>
      </c>
      <c r="H16" s="25" t="s">
        <v>70</v>
      </c>
      <c r="I16" s="24" t="s">
        <v>396</v>
      </c>
      <c r="J16" s="24"/>
      <c r="K16" s="23" t="str">
        <f>"200,0"</f>
        <v>200,0</v>
      </c>
      <c r="L16" s="25" t="str">
        <f>"107,0800"</f>
        <v>107,0800</v>
      </c>
      <c r="M16" s="23" t="s">
        <v>41</v>
      </c>
    </row>
    <row r="17" spans="1:13" ht="12.75">
      <c r="A17" s="23" t="s">
        <v>401</v>
      </c>
      <c r="B17" s="23" t="s">
        <v>402</v>
      </c>
      <c r="C17" s="23" t="s">
        <v>400</v>
      </c>
      <c r="D17" s="23" t="str">
        <f>"0,5354"</f>
        <v>0,5354</v>
      </c>
      <c r="E17" s="23" t="s">
        <v>34</v>
      </c>
      <c r="F17" s="23" t="s">
        <v>35</v>
      </c>
      <c r="G17" s="25" t="s">
        <v>72</v>
      </c>
      <c r="H17" s="25" t="s">
        <v>70</v>
      </c>
      <c r="I17" s="24" t="s">
        <v>396</v>
      </c>
      <c r="J17" s="24"/>
      <c r="K17" s="23" t="str">
        <f>"200,0"</f>
        <v>200,0</v>
      </c>
      <c r="L17" s="25" t="str">
        <f>"107,4012"</f>
        <v>107,4012</v>
      </c>
      <c r="M17" s="23" t="s">
        <v>41</v>
      </c>
    </row>
    <row r="18" spans="1:13" ht="12.75">
      <c r="A18" s="9" t="s">
        <v>404</v>
      </c>
      <c r="B18" s="9" t="s">
        <v>405</v>
      </c>
      <c r="C18" s="9" t="s">
        <v>406</v>
      </c>
      <c r="D18" s="9" t="str">
        <f>"0,5334"</f>
        <v>0,5334</v>
      </c>
      <c r="E18" s="9" t="s">
        <v>19</v>
      </c>
      <c r="F18" s="9" t="s">
        <v>47</v>
      </c>
      <c r="G18" s="10" t="s">
        <v>71</v>
      </c>
      <c r="H18" s="10" t="s">
        <v>407</v>
      </c>
      <c r="I18" s="11" t="s">
        <v>70</v>
      </c>
      <c r="J18" s="11"/>
      <c r="K18" s="9" t="str">
        <f>"192,5"</f>
        <v>192,5</v>
      </c>
      <c r="L18" s="10" t="str">
        <f>"114,6930"</f>
        <v>114,6930</v>
      </c>
      <c r="M18" s="9" t="s">
        <v>76</v>
      </c>
    </row>
    <row r="20" spans="5:6" ht="15">
      <c r="E20" s="15" t="s">
        <v>77</v>
      </c>
      <c r="F20" s="4" t="s">
        <v>664</v>
      </c>
    </row>
    <row r="21" spans="5:6" ht="15">
      <c r="E21" s="15" t="s">
        <v>78</v>
      </c>
      <c r="F21" s="4" t="s">
        <v>665</v>
      </c>
    </row>
    <row r="22" spans="5:6" ht="15">
      <c r="E22" s="15" t="s">
        <v>79</v>
      </c>
      <c r="F22" s="4" t="s">
        <v>666</v>
      </c>
    </row>
    <row r="23" spans="5:6" ht="15">
      <c r="E23" s="15" t="s">
        <v>80</v>
      </c>
      <c r="F23" s="4" t="s">
        <v>667</v>
      </c>
    </row>
    <row r="24" spans="5:6" ht="15">
      <c r="E24" s="15" t="s">
        <v>80</v>
      </c>
      <c r="F24" s="4" t="s">
        <v>669</v>
      </c>
    </row>
    <row r="25" spans="5:6" ht="15">
      <c r="E25" s="15" t="s">
        <v>81</v>
      </c>
      <c r="F25" s="4" t="s">
        <v>668</v>
      </c>
    </row>
    <row r="26" ht="15">
      <c r="E26" s="15"/>
    </row>
    <row r="28" spans="1:2" ht="18">
      <c r="A28" s="16" t="s">
        <v>82</v>
      </c>
      <c r="B28" s="16"/>
    </row>
    <row r="29" spans="1:2" ht="15">
      <c r="A29" s="17" t="s">
        <v>96</v>
      </c>
      <c r="B29" s="17"/>
    </row>
    <row r="30" spans="1:2" ht="14.25">
      <c r="A30" s="19"/>
      <c r="B30" s="20" t="s">
        <v>97</v>
      </c>
    </row>
    <row r="31" spans="1:5" ht="15">
      <c r="A31" s="21" t="s">
        <v>85</v>
      </c>
      <c r="B31" s="21" t="s">
        <v>86</v>
      </c>
      <c r="C31" s="21" t="s">
        <v>87</v>
      </c>
      <c r="D31" s="21" t="s">
        <v>88</v>
      </c>
      <c r="E31" s="21" t="s">
        <v>89</v>
      </c>
    </row>
    <row r="32" spans="1:5" ht="12.75">
      <c r="A32" s="18" t="s">
        <v>397</v>
      </c>
      <c r="B32" s="4" t="s">
        <v>339</v>
      </c>
      <c r="C32" s="4" t="s">
        <v>267</v>
      </c>
      <c r="D32" s="4" t="s">
        <v>70</v>
      </c>
      <c r="E32" s="22" t="s">
        <v>408</v>
      </c>
    </row>
    <row r="34" spans="1:2" ht="14.25">
      <c r="A34" s="19"/>
      <c r="B34" s="20" t="s">
        <v>93</v>
      </c>
    </row>
    <row r="35" spans="1:5" ht="15">
      <c r="A35" s="21" t="s">
        <v>85</v>
      </c>
      <c r="B35" s="21" t="s">
        <v>86</v>
      </c>
      <c r="C35" s="21" t="s">
        <v>87</v>
      </c>
      <c r="D35" s="21" t="s">
        <v>88</v>
      </c>
      <c r="E35" s="21" t="s">
        <v>89</v>
      </c>
    </row>
    <row r="36" spans="1:5" ht="12.75">
      <c r="A36" s="18" t="s">
        <v>387</v>
      </c>
      <c r="B36" s="4" t="s">
        <v>93</v>
      </c>
      <c r="C36" s="4" t="s">
        <v>267</v>
      </c>
      <c r="D36" s="4" t="s">
        <v>391</v>
      </c>
      <c r="E36" s="22" t="s">
        <v>409</v>
      </c>
    </row>
    <row r="37" spans="1:5" ht="12.75">
      <c r="A37" s="18" t="s">
        <v>376</v>
      </c>
      <c r="B37" s="4" t="s">
        <v>93</v>
      </c>
      <c r="C37" s="4" t="s">
        <v>104</v>
      </c>
      <c r="D37" s="4" t="s">
        <v>70</v>
      </c>
      <c r="E37" s="22" t="s">
        <v>410</v>
      </c>
    </row>
    <row r="38" spans="1:5" ht="12.75">
      <c r="A38" s="18" t="s">
        <v>392</v>
      </c>
      <c r="B38" s="4" t="s">
        <v>93</v>
      </c>
      <c r="C38" s="4" t="s">
        <v>267</v>
      </c>
      <c r="D38" s="4" t="s">
        <v>396</v>
      </c>
      <c r="E38" s="22" t="s">
        <v>411</v>
      </c>
    </row>
    <row r="39" spans="1:5" ht="12.75">
      <c r="A39" s="18" t="s">
        <v>397</v>
      </c>
      <c r="B39" s="4" t="s">
        <v>93</v>
      </c>
      <c r="C39" s="4" t="s">
        <v>267</v>
      </c>
      <c r="D39" s="4" t="s">
        <v>70</v>
      </c>
      <c r="E39" s="22" t="s">
        <v>412</v>
      </c>
    </row>
    <row r="40" spans="1:5" ht="12.75">
      <c r="A40" s="18" t="s">
        <v>368</v>
      </c>
      <c r="B40" s="4" t="s">
        <v>93</v>
      </c>
      <c r="C40" s="4" t="s">
        <v>27</v>
      </c>
      <c r="D40" s="4" t="s">
        <v>287</v>
      </c>
      <c r="E40" s="22" t="s">
        <v>413</v>
      </c>
    </row>
    <row r="41" spans="1:5" ht="12.75">
      <c r="A41" s="18" t="s">
        <v>382</v>
      </c>
      <c r="B41" s="4" t="s">
        <v>93</v>
      </c>
      <c r="C41" s="4" t="s">
        <v>104</v>
      </c>
      <c r="D41" s="4" t="s">
        <v>314</v>
      </c>
      <c r="E41" s="22" t="s">
        <v>414</v>
      </c>
    </row>
    <row r="42" spans="1:5" ht="12.75">
      <c r="A42" s="18" t="s">
        <v>372</v>
      </c>
      <c r="B42" s="4" t="s">
        <v>93</v>
      </c>
      <c r="C42" s="4" t="s">
        <v>27</v>
      </c>
      <c r="D42" s="4" t="s">
        <v>126</v>
      </c>
      <c r="E42" s="22" t="s">
        <v>415</v>
      </c>
    </row>
    <row r="44" spans="1:2" ht="14.25">
      <c r="A44" s="19"/>
      <c r="B44" s="20" t="s">
        <v>164</v>
      </c>
    </row>
    <row r="45" spans="1:5" ht="15">
      <c r="A45" s="21" t="s">
        <v>85</v>
      </c>
      <c r="B45" s="21" t="s">
        <v>86</v>
      </c>
      <c r="C45" s="21" t="s">
        <v>87</v>
      </c>
      <c r="D45" s="21" t="s">
        <v>88</v>
      </c>
      <c r="E45" s="21" t="s">
        <v>89</v>
      </c>
    </row>
    <row r="46" spans="1:5" ht="12.75">
      <c r="A46" s="18" t="s">
        <v>403</v>
      </c>
      <c r="B46" s="4" t="s">
        <v>337</v>
      </c>
      <c r="C46" s="4" t="s">
        <v>267</v>
      </c>
      <c r="D46" s="4" t="s">
        <v>407</v>
      </c>
      <c r="E46" s="22" t="s">
        <v>416</v>
      </c>
    </row>
    <row r="47" spans="1:5" ht="12.75">
      <c r="A47" s="18" t="s">
        <v>397</v>
      </c>
      <c r="B47" s="4" t="s">
        <v>339</v>
      </c>
      <c r="C47" s="4" t="s">
        <v>267</v>
      </c>
      <c r="D47" s="4" t="s">
        <v>70</v>
      </c>
      <c r="E47" s="22" t="s">
        <v>408</v>
      </c>
    </row>
  </sheetData>
  <sheetProtection/>
  <mergeCells count="14">
    <mergeCell ref="A13:L13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25"/>
  <sheetViews>
    <sheetView zoomScalePageLayoutView="0" workbookViewId="0" topLeftCell="A25">
      <selection activeCell="F65" sqref="F65:F70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0.25390625" style="4" bestFit="1" customWidth="1"/>
    <col min="14" max="16384" width="9.125" style="3" customWidth="1"/>
  </cols>
  <sheetData>
    <row r="1" spans="1:13" s="2" customFormat="1" ht="28.5" customHeight="1">
      <c r="A1" s="44" t="s">
        <v>175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0</v>
      </c>
      <c r="B3" s="52" t="s">
        <v>6</v>
      </c>
      <c r="C3" s="52" t="s">
        <v>7</v>
      </c>
      <c r="D3" s="38" t="s">
        <v>10</v>
      </c>
      <c r="E3" s="38" t="s">
        <v>4</v>
      </c>
      <c r="F3" s="38" t="s">
        <v>8</v>
      </c>
      <c r="G3" s="38" t="s">
        <v>12</v>
      </c>
      <c r="H3" s="38"/>
      <c r="I3" s="38"/>
      <c r="J3" s="38"/>
      <c r="K3" s="38" t="s">
        <v>133</v>
      </c>
      <c r="L3" s="38" t="s">
        <v>3</v>
      </c>
      <c r="M3" s="40" t="s">
        <v>2</v>
      </c>
    </row>
    <row r="4" spans="1:13" s="1" customFormat="1" ht="21" customHeight="1" thickBot="1">
      <c r="A4" s="51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5</v>
      </c>
      <c r="K4" s="39"/>
      <c r="L4" s="39"/>
      <c r="M4" s="41"/>
    </row>
    <row r="5" spans="1:12" ht="15">
      <c r="A5" s="42" t="s">
        <v>176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12" t="s">
        <v>178</v>
      </c>
      <c r="B6" s="12" t="s">
        <v>179</v>
      </c>
      <c r="C6" s="12" t="s">
        <v>180</v>
      </c>
      <c r="D6" s="12" t="str">
        <f>"1,0361"</f>
        <v>1,0361</v>
      </c>
      <c r="E6" s="12" t="s">
        <v>19</v>
      </c>
      <c r="F6" s="12" t="s">
        <v>47</v>
      </c>
      <c r="G6" s="13" t="s">
        <v>39</v>
      </c>
      <c r="H6" s="14" t="s">
        <v>50</v>
      </c>
      <c r="I6" s="14" t="s">
        <v>50</v>
      </c>
      <c r="J6" s="14"/>
      <c r="K6" s="12" t="str">
        <f>"50,0"</f>
        <v>50,0</v>
      </c>
      <c r="L6" s="13" t="str">
        <f>"51,8075"</f>
        <v>51,8075</v>
      </c>
      <c r="M6" s="12" t="s">
        <v>149</v>
      </c>
    </row>
    <row r="8" spans="1:12" ht="15">
      <c r="A8" s="53" t="s">
        <v>181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3" ht="12.75">
      <c r="A9" s="12" t="s">
        <v>183</v>
      </c>
      <c r="B9" s="12" t="s">
        <v>184</v>
      </c>
      <c r="C9" s="12" t="s">
        <v>185</v>
      </c>
      <c r="D9" s="12" t="str">
        <f>"0,9739"</f>
        <v>0,9739</v>
      </c>
      <c r="E9" s="12" t="s">
        <v>186</v>
      </c>
      <c r="F9" s="12" t="s">
        <v>47</v>
      </c>
      <c r="G9" s="13" t="s">
        <v>26</v>
      </c>
      <c r="H9" s="13" t="s">
        <v>38</v>
      </c>
      <c r="I9" s="14" t="s">
        <v>49</v>
      </c>
      <c r="J9" s="14"/>
      <c r="K9" s="12" t="str">
        <f>"45,0"</f>
        <v>45,0</v>
      </c>
      <c r="L9" s="13" t="str">
        <f>"51,7141"</f>
        <v>51,7141</v>
      </c>
      <c r="M9" s="12" t="s">
        <v>187</v>
      </c>
    </row>
    <row r="11" spans="1:12" ht="15">
      <c r="A11" s="53" t="s">
        <v>42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3" ht="12.75">
      <c r="A12" s="12" t="s">
        <v>189</v>
      </c>
      <c r="B12" s="12" t="s">
        <v>190</v>
      </c>
      <c r="C12" s="12" t="s">
        <v>191</v>
      </c>
      <c r="D12" s="12" t="str">
        <f>"0,9201"</f>
        <v>0,9201</v>
      </c>
      <c r="E12" s="12" t="s">
        <v>186</v>
      </c>
      <c r="F12" s="12" t="s">
        <v>47</v>
      </c>
      <c r="G12" s="13" t="s">
        <v>26</v>
      </c>
      <c r="H12" s="13" t="s">
        <v>38</v>
      </c>
      <c r="I12" s="13" t="s">
        <v>39</v>
      </c>
      <c r="J12" s="14"/>
      <c r="K12" s="12" t="str">
        <f>"50,0"</f>
        <v>50,0</v>
      </c>
      <c r="L12" s="13" t="str">
        <f>"46,0050"</f>
        <v>46,0050</v>
      </c>
      <c r="M12" s="12" t="s">
        <v>187</v>
      </c>
    </row>
    <row r="14" spans="1:12" ht="15">
      <c r="A14" s="53" t="s">
        <v>14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3" ht="12.75">
      <c r="A15" s="12" t="s">
        <v>193</v>
      </c>
      <c r="B15" s="12" t="s">
        <v>194</v>
      </c>
      <c r="C15" s="12" t="s">
        <v>195</v>
      </c>
      <c r="D15" s="12" t="str">
        <f>"0,8725"</f>
        <v>0,8725</v>
      </c>
      <c r="E15" s="12" t="s">
        <v>58</v>
      </c>
      <c r="F15" s="12" t="s">
        <v>47</v>
      </c>
      <c r="G15" s="13" t="s">
        <v>25</v>
      </c>
      <c r="H15" s="14" t="s">
        <v>26</v>
      </c>
      <c r="I15" s="13" t="s">
        <v>26</v>
      </c>
      <c r="J15" s="14"/>
      <c r="K15" s="12" t="str">
        <f>"40,0"</f>
        <v>40,0</v>
      </c>
      <c r="L15" s="13" t="str">
        <f>"38,1108"</f>
        <v>38,1108</v>
      </c>
      <c r="M15" s="12" t="s">
        <v>118</v>
      </c>
    </row>
    <row r="17" spans="1:12" ht="15">
      <c r="A17" s="53" t="s">
        <v>108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3" ht="12.75">
      <c r="A18" s="12" t="s">
        <v>197</v>
      </c>
      <c r="B18" s="12" t="s">
        <v>198</v>
      </c>
      <c r="C18" s="12" t="s">
        <v>199</v>
      </c>
      <c r="D18" s="12" t="str">
        <f>"0,8132"</f>
        <v>0,8132</v>
      </c>
      <c r="E18" s="12" t="s">
        <v>58</v>
      </c>
      <c r="F18" s="12" t="s">
        <v>47</v>
      </c>
      <c r="G18" s="13" t="s">
        <v>24</v>
      </c>
      <c r="H18" s="13" t="s">
        <v>25</v>
      </c>
      <c r="I18" s="14" t="s">
        <v>26</v>
      </c>
      <c r="J18" s="14"/>
      <c r="K18" s="12" t="str">
        <f>"35,0"</f>
        <v>35,0</v>
      </c>
      <c r="L18" s="13" t="str">
        <f>"28,4620"</f>
        <v>28,4620</v>
      </c>
      <c r="M18" s="12" t="s">
        <v>118</v>
      </c>
    </row>
    <row r="20" spans="1:12" ht="15">
      <c r="A20" s="53" t="s">
        <v>14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1:13" ht="12.75">
      <c r="A21" s="12" t="s">
        <v>201</v>
      </c>
      <c r="B21" s="12" t="s">
        <v>202</v>
      </c>
      <c r="C21" s="12" t="s">
        <v>203</v>
      </c>
      <c r="D21" s="12" t="str">
        <f>"0,8177"</f>
        <v>0,8177</v>
      </c>
      <c r="E21" s="12" t="s">
        <v>19</v>
      </c>
      <c r="F21" s="12" t="s">
        <v>204</v>
      </c>
      <c r="G21" s="13" t="s">
        <v>27</v>
      </c>
      <c r="H21" s="14" t="s">
        <v>104</v>
      </c>
      <c r="I21" s="13" t="s">
        <v>104</v>
      </c>
      <c r="J21" s="14"/>
      <c r="K21" s="12" t="str">
        <f>"110,0"</f>
        <v>110,0</v>
      </c>
      <c r="L21" s="13" t="str">
        <f>"89,9525"</f>
        <v>89,9525</v>
      </c>
      <c r="M21" s="12" t="s">
        <v>76</v>
      </c>
    </row>
    <row r="23" spans="1:12" ht="15">
      <c r="A23" s="53" t="s">
        <v>108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3" ht="12.75">
      <c r="A24" s="6" t="s">
        <v>206</v>
      </c>
      <c r="B24" s="6" t="s">
        <v>207</v>
      </c>
      <c r="C24" s="6" t="s">
        <v>208</v>
      </c>
      <c r="D24" s="6" t="str">
        <f>"0,7408"</f>
        <v>0,7408</v>
      </c>
      <c r="E24" s="6" t="s">
        <v>19</v>
      </c>
      <c r="F24" s="6" t="s">
        <v>209</v>
      </c>
      <c r="G24" s="8" t="s">
        <v>27</v>
      </c>
      <c r="H24" s="8" t="s">
        <v>104</v>
      </c>
      <c r="I24" s="7" t="s">
        <v>139</v>
      </c>
      <c r="J24" s="7"/>
      <c r="K24" s="6" t="str">
        <f>"110,0"</f>
        <v>110,0</v>
      </c>
      <c r="L24" s="8" t="str">
        <f>"88,0070"</f>
        <v>88,0070</v>
      </c>
      <c r="M24" s="6" t="s">
        <v>76</v>
      </c>
    </row>
    <row r="25" spans="1:13" ht="12.75">
      <c r="A25" s="23" t="s">
        <v>211</v>
      </c>
      <c r="B25" s="23" t="s">
        <v>212</v>
      </c>
      <c r="C25" s="23" t="s">
        <v>213</v>
      </c>
      <c r="D25" s="23" t="str">
        <f>"0,7327"</f>
        <v>0,7327</v>
      </c>
      <c r="E25" s="23" t="s">
        <v>19</v>
      </c>
      <c r="F25" s="23" t="s">
        <v>214</v>
      </c>
      <c r="G25" s="24" t="s">
        <v>215</v>
      </c>
      <c r="H25" s="25" t="s">
        <v>215</v>
      </c>
      <c r="I25" s="25" t="s">
        <v>216</v>
      </c>
      <c r="J25" s="24"/>
      <c r="K25" s="23" t="str">
        <f>"145,0"</f>
        <v>145,0</v>
      </c>
      <c r="L25" s="25" t="str">
        <f>"106,2415"</f>
        <v>106,2415</v>
      </c>
      <c r="M25" s="23" t="s">
        <v>76</v>
      </c>
    </row>
    <row r="26" spans="1:13" ht="12.75">
      <c r="A26" s="9" t="s">
        <v>218</v>
      </c>
      <c r="B26" s="9" t="s">
        <v>219</v>
      </c>
      <c r="C26" s="9" t="s">
        <v>220</v>
      </c>
      <c r="D26" s="9" t="str">
        <f>"0,7717"</f>
        <v>0,7717</v>
      </c>
      <c r="E26" s="9" t="s">
        <v>124</v>
      </c>
      <c r="F26" s="9" t="s">
        <v>20</v>
      </c>
      <c r="G26" s="11" t="s">
        <v>40</v>
      </c>
      <c r="H26" s="11" t="s">
        <v>40</v>
      </c>
      <c r="I26" s="11" t="s">
        <v>40</v>
      </c>
      <c r="J26" s="11"/>
      <c r="K26" s="9" t="str">
        <f>"0.00"</f>
        <v>0.00</v>
      </c>
      <c r="L26" s="10" t="str">
        <f>"0,0000"</f>
        <v>0,0000</v>
      </c>
      <c r="M26" s="9" t="s">
        <v>128</v>
      </c>
    </row>
    <row r="28" spans="1:12" ht="15">
      <c r="A28" s="53" t="s">
        <v>221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3" ht="12.75">
      <c r="A29" s="6" t="s">
        <v>223</v>
      </c>
      <c r="B29" s="6" t="s">
        <v>224</v>
      </c>
      <c r="C29" s="6" t="s">
        <v>225</v>
      </c>
      <c r="D29" s="6" t="str">
        <f>"0,6748"</f>
        <v>0,6748</v>
      </c>
      <c r="E29" s="6" t="s">
        <v>19</v>
      </c>
      <c r="F29" s="6" t="s">
        <v>47</v>
      </c>
      <c r="G29" s="8" t="s">
        <v>148</v>
      </c>
      <c r="H29" s="8" t="s">
        <v>226</v>
      </c>
      <c r="I29" s="7" t="s">
        <v>215</v>
      </c>
      <c r="J29" s="7"/>
      <c r="K29" s="6" t="str">
        <f>"130,0"</f>
        <v>130,0</v>
      </c>
      <c r="L29" s="8" t="str">
        <f>"87,7305"</f>
        <v>87,7305</v>
      </c>
      <c r="M29" s="6" t="s">
        <v>227</v>
      </c>
    </row>
    <row r="30" spans="1:13" ht="12.75">
      <c r="A30" s="9" t="s">
        <v>229</v>
      </c>
      <c r="B30" s="9" t="s">
        <v>230</v>
      </c>
      <c r="C30" s="9" t="s">
        <v>231</v>
      </c>
      <c r="D30" s="9" t="str">
        <f>"0,7239"</f>
        <v>0,7239</v>
      </c>
      <c r="E30" s="9" t="s">
        <v>34</v>
      </c>
      <c r="F30" s="9" t="s">
        <v>35</v>
      </c>
      <c r="G30" s="10" t="s">
        <v>52</v>
      </c>
      <c r="H30" s="10" t="s">
        <v>104</v>
      </c>
      <c r="I30" s="11" t="s">
        <v>232</v>
      </c>
      <c r="J30" s="11"/>
      <c r="K30" s="9" t="str">
        <f>"110,0"</f>
        <v>110,0</v>
      </c>
      <c r="L30" s="10" t="str">
        <f>"79,6290"</f>
        <v>79,6290</v>
      </c>
      <c r="M30" s="9" t="s">
        <v>41</v>
      </c>
    </row>
    <row r="32" spans="1:12" ht="15">
      <c r="A32" s="53" t="s">
        <v>113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1:13" ht="12.75">
      <c r="A33" s="6" t="s">
        <v>234</v>
      </c>
      <c r="B33" s="6" t="s">
        <v>235</v>
      </c>
      <c r="C33" s="6" t="s">
        <v>236</v>
      </c>
      <c r="D33" s="6" t="str">
        <f>"0,6273"</f>
        <v>0,6273</v>
      </c>
      <c r="E33" s="6" t="s">
        <v>34</v>
      </c>
      <c r="F33" s="6" t="s">
        <v>35</v>
      </c>
      <c r="G33" s="8" t="s">
        <v>237</v>
      </c>
      <c r="H33" s="8" t="s">
        <v>238</v>
      </c>
      <c r="I33" s="8" t="s">
        <v>125</v>
      </c>
      <c r="J33" s="7"/>
      <c r="K33" s="6" t="str">
        <f>"150,0"</f>
        <v>150,0</v>
      </c>
      <c r="L33" s="8" t="str">
        <f>"94,0950"</f>
        <v>94,0950</v>
      </c>
      <c r="M33" s="6" t="s">
        <v>41</v>
      </c>
    </row>
    <row r="34" spans="1:13" ht="12.75">
      <c r="A34" s="23" t="s">
        <v>240</v>
      </c>
      <c r="B34" s="23" t="s">
        <v>241</v>
      </c>
      <c r="C34" s="23" t="s">
        <v>242</v>
      </c>
      <c r="D34" s="23" t="str">
        <f>"0,6341"</f>
        <v>0,6341</v>
      </c>
      <c r="E34" s="23" t="s">
        <v>19</v>
      </c>
      <c r="F34" s="23" t="s">
        <v>47</v>
      </c>
      <c r="G34" s="24" t="s">
        <v>28</v>
      </c>
      <c r="H34" s="25" t="s">
        <v>28</v>
      </c>
      <c r="I34" s="24" t="s">
        <v>232</v>
      </c>
      <c r="J34" s="24"/>
      <c r="K34" s="23" t="str">
        <f>"105,0"</f>
        <v>105,0</v>
      </c>
      <c r="L34" s="25" t="str">
        <f>"66,5805"</f>
        <v>66,5805</v>
      </c>
      <c r="M34" s="23" t="s">
        <v>243</v>
      </c>
    </row>
    <row r="35" spans="1:13" ht="12.75">
      <c r="A35" s="9" t="s">
        <v>245</v>
      </c>
      <c r="B35" s="9" t="s">
        <v>246</v>
      </c>
      <c r="C35" s="9" t="s">
        <v>153</v>
      </c>
      <c r="D35" s="9" t="str">
        <f>"0,6198"</f>
        <v>0,6198</v>
      </c>
      <c r="E35" s="9" t="s">
        <v>124</v>
      </c>
      <c r="F35" s="9" t="s">
        <v>20</v>
      </c>
      <c r="G35" s="10" t="s">
        <v>226</v>
      </c>
      <c r="H35" s="10" t="s">
        <v>237</v>
      </c>
      <c r="I35" s="11" t="s">
        <v>247</v>
      </c>
      <c r="J35" s="11"/>
      <c r="K35" s="9" t="str">
        <f>"140,0"</f>
        <v>140,0</v>
      </c>
      <c r="L35" s="10" t="str">
        <f>"115,4068"</f>
        <v>115,4068</v>
      </c>
      <c r="M35" s="9" t="s">
        <v>76</v>
      </c>
    </row>
    <row r="37" spans="1:12" ht="15">
      <c r="A37" s="53" t="s">
        <v>155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spans="1:13" ht="12.75">
      <c r="A38" s="6" t="s">
        <v>249</v>
      </c>
      <c r="B38" s="6" t="s">
        <v>250</v>
      </c>
      <c r="C38" s="6" t="s">
        <v>251</v>
      </c>
      <c r="D38" s="6" t="str">
        <f>"0,5877"</f>
        <v>0,5877</v>
      </c>
      <c r="E38" s="6" t="s">
        <v>19</v>
      </c>
      <c r="F38" s="6" t="s">
        <v>47</v>
      </c>
      <c r="G38" s="7" t="s">
        <v>252</v>
      </c>
      <c r="H38" s="7" t="s">
        <v>252</v>
      </c>
      <c r="I38" s="7" t="s">
        <v>252</v>
      </c>
      <c r="J38" s="7"/>
      <c r="K38" s="6" t="str">
        <f>"0.00"</f>
        <v>0.00</v>
      </c>
      <c r="L38" s="8" t="str">
        <f>"0,0000"</f>
        <v>0,0000</v>
      </c>
      <c r="M38" s="6" t="s">
        <v>76</v>
      </c>
    </row>
    <row r="39" spans="1:13" ht="12.75">
      <c r="A39" s="23" t="s">
        <v>254</v>
      </c>
      <c r="B39" s="23" t="s">
        <v>255</v>
      </c>
      <c r="C39" s="23" t="s">
        <v>256</v>
      </c>
      <c r="D39" s="23" t="str">
        <f>"0,5875"</f>
        <v>0,5875</v>
      </c>
      <c r="E39" s="23" t="s">
        <v>19</v>
      </c>
      <c r="F39" s="23" t="s">
        <v>47</v>
      </c>
      <c r="G39" s="25" t="s">
        <v>126</v>
      </c>
      <c r="H39" s="25" t="s">
        <v>257</v>
      </c>
      <c r="I39" s="25" t="s">
        <v>258</v>
      </c>
      <c r="J39" s="24"/>
      <c r="K39" s="23" t="str">
        <f>"165,0"</f>
        <v>165,0</v>
      </c>
      <c r="L39" s="25" t="str">
        <f>"96,9375"</f>
        <v>96,9375</v>
      </c>
      <c r="M39" s="23" t="s">
        <v>76</v>
      </c>
    </row>
    <row r="40" spans="1:13" ht="12.75">
      <c r="A40" s="23" t="s">
        <v>260</v>
      </c>
      <c r="B40" s="23" t="s">
        <v>261</v>
      </c>
      <c r="C40" s="23" t="s">
        <v>262</v>
      </c>
      <c r="D40" s="23" t="str">
        <f>"0,5910"</f>
        <v>0,5910</v>
      </c>
      <c r="E40" s="23" t="s">
        <v>19</v>
      </c>
      <c r="F40" s="23" t="s">
        <v>47</v>
      </c>
      <c r="G40" s="25" t="s">
        <v>125</v>
      </c>
      <c r="H40" s="24" t="s">
        <v>126</v>
      </c>
      <c r="I40" s="24" t="s">
        <v>126</v>
      </c>
      <c r="J40" s="24"/>
      <c r="K40" s="23" t="str">
        <f>"150,0"</f>
        <v>150,0</v>
      </c>
      <c r="L40" s="25" t="str">
        <f>"88,6500"</f>
        <v>88,6500</v>
      </c>
      <c r="M40" s="23" t="s">
        <v>76</v>
      </c>
    </row>
    <row r="41" spans="1:13" ht="12.75">
      <c r="A41" s="23" t="s">
        <v>264</v>
      </c>
      <c r="B41" s="23" t="s">
        <v>265</v>
      </c>
      <c r="C41" s="23" t="s">
        <v>266</v>
      </c>
      <c r="D41" s="23" t="str">
        <f>"0,6002"</f>
        <v>0,6002</v>
      </c>
      <c r="E41" s="23" t="s">
        <v>19</v>
      </c>
      <c r="F41" s="23" t="s">
        <v>204</v>
      </c>
      <c r="G41" s="25" t="s">
        <v>148</v>
      </c>
      <c r="H41" s="25" t="s">
        <v>267</v>
      </c>
      <c r="I41" s="24" t="s">
        <v>252</v>
      </c>
      <c r="J41" s="24"/>
      <c r="K41" s="23" t="str">
        <f>"125,0"</f>
        <v>125,0</v>
      </c>
      <c r="L41" s="25" t="str">
        <f>"75,0250"</f>
        <v>75,0250</v>
      </c>
      <c r="M41" s="23" t="s">
        <v>76</v>
      </c>
    </row>
    <row r="42" spans="1:13" ht="12.75">
      <c r="A42" s="23" t="s">
        <v>269</v>
      </c>
      <c r="B42" s="23" t="s">
        <v>270</v>
      </c>
      <c r="C42" s="23" t="s">
        <v>271</v>
      </c>
      <c r="D42" s="23" t="str">
        <f>"0,5973"</f>
        <v>0,5973</v>
      </c>
      <c r="E42" s="23" t="s">
        <v>19</v>
      </c>
      <c r="F42" s="23" t="s">
        <v>47</v>
      </c>
      <c r="G42" s="25" t="s">
        <v>104</v>
      </c>
      <c r="H42" s="25" t="s">
        <v>232</v>
      </c>
      <c r="I42" s="24" t="s">
        <v>148</v>
      </c>
      <c r="J42" s="24"/>
      <c r="K42" s="23" t="str">
        <f>"115,0"</f>
        <v>115,0</v>
      </c>
      <c r="L42" s="25" t="str">
        <f>"68,6895"</f>
        <v>68,6895</v>
      </c>
      <c r="M42" s="23" t="s">
        <v>76</v>
      </c>
    </row>
    <row r="43" spans="1:13" ht="12.75">
      <c r="A43" s="23" t="s">
        <v>273</v>
      </c>
      <c r="B43" s="23" t="s">
        <v>274</v>
      </c>
      <c r="C43" s="23" t="s">
        <v>275</v>
      </c>
      <c r="D43" s="23" t="str">
        <f>"0,5853"</f>
        <v>0,5853</v>
      </c>
      <c r="E43" s="23" t="s">
        <v>124</v>
      </c>
      <c r="F43" s="23" t="s">
        <v>20</v>
      </c>
      <c r="G43" s="24" t="s">
        <v>237</v>
      </c>
      <c r="H43" s="24" t="s">
        <v>237</v>
      </c>
      <c r="I43" s="24" t="s">
        <v>237</v>
      </c>
      <c r="J43" s="24"/>
      <c r="K43" s="23" t="str">
        <f>"0.00"</f>
        <v>0.00</v>
      </c>
      <c r="L43" s="25" t="str">
        <f>"0,0000"</f>
        <v>0,0000</v>
      </c>
      <c r="M43" s="23" t="s">
        <v>128</v>
      </c>
    </row>
    <row r="44" spans="1:13" ht="12.75">
      <c r="A44" s="23" t="s">
        <v>276</v>
      </c>
      <c r="B44" s="23" t="s">
        <v>277</v>
      </c>
      <c r="C44" s="23" t="s">
        <v>256</v>
      </c>
      <c r="D44" s="23" t="str">
        <f>"0,5875"</f>
        <v>0,5875</v>
      </c>
      <c r="E44" s="23" t="s">
        <v>58</v>
      </c>
      <c r="F44" s="23" t="s">
        <v>47</v>
      </c>
      <c r="G44" s="24" t="s">
        <v>216</v>
      </c>
      <c r="H44" s="24" t="s">
        <v>216</v>
      </c>
      <c r="I44" s="24"/>
      <c r="J44" s="24"/>
      <c r="K44" s="23" t="str">
        <f>"0.00"</f>
        <v>0.00</v>
      </c>
      <c r="L44" s="25" t="str">
        <f>"0,0000"</f>
        <v>0,0000</v>
      </c>
      <c r="M44" s="23" t="s">
        <v>76</v>
      </c>
    </row>
    <row r="45" spans="1:13" ht="12.75">
      <c r="A45" s="9" t="s">
        <v>279</v>
      </c>
      <c r="B45" s="9" t="s">
        <v>280</v>
      </c>
      <c r="C45" s="9" t="s">
        <v>281</v>
      </c>
      <c r="D45" s="9" t="str">
        <f>"0,5958"</f>
        <v>0,5958</v>
      </c>
      <c r="E45" s="9" t="s">
        <v>19</v>
      </c>
      <c r="F45" s="9" t="s">
        <v>282</v>
      </c>
      <c r="G45" s="10" t="s">
        <v>104</v>
      </c>
      <c r="H45" s="10" t="s">
        <v>232</v>
      </c>
      <c r="I45" s="10" t="s">
        <v>148</v>
      </c>
      <c r="J45" s="11"/>
      <c r="K45" s="9" t="str">
        <f>"120,0"</f>
        <v>120,0</v>
      </c>
      <c r="L45" s="10" t="str">
        <f>"86,4387"</f>
        <v>86,4387</v>
      </c>
      <c r="M45" s="9" t="s">
        <v>76</v>
      </c>
    </row>
    <row r="47" spans="1:12" ht="15">
      <c r="A47" s="53" t="s">
        <v>119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1:13" ht="12.75">
      <c r="A48" s="6" t="s">
        <v>284</v>
      </c>
      <c r="B48" s="6" t="s">
        <v>285</v>
      </c>
      <c r="C48" s="6" t="s">
        <v>286</v>
      </c>
      <c r="D48" s="6" t="str">
        <f>"0,5573"</f>
        <v>0,5573</v>
      </c>
      <c r="E48" s="6" t="s">
        <v>124</v>
      </c>
      <c r="F48" s="6" t="s">
        <v>20</v>
      </c>
      <c r="G48" s="8" t="s">
        <v>257</v>
      </c>
      <c r="H48" s="8" t="s">
        <v>287</v>
      </c>
      <c r="I48" s="7" t="s">
        <v>288</v>
      </c>
      <c r="J48" s="7"/>
      <c r="K48" s="6" t="str">
        <f>"170,0"</f>
        <v>170,0</v>
      </c>
      <c r="L48" s="8" t="str">
        <f>"94,7410"</f>
        <v>94,7410</v>
      </c>
      <c r="M48" s="6" t="s">
        <v>128</v>
      </c>
    </row>
    <row r="49" spans="1:13" ht="12.75">
      <c r="A49" s="23" t="s">
        <v>290</v>
      </c>
      <c r="B49" s="23" t="s">
        <v>291</v>
      </c>
      <c r="C49" s="23" t="s">
        <v>292</v>
      </c>
      <c r="D49" s="23" t="str">
        <f>"0,5633"</f>
        <v>0,5633</v>
      </c>
      <c r="E49" s="23" t="s">
        <v>124</v>
      </c>
      <c r="F49" s="23" t="s">
        <v>20</v>
      </c>
      <c r="G49" s="25" t="s">
        <v>293</v>
      </c>
      <c r="H49" s="24" t="s">
        <v>257</v>
      </c>
      <c r="I49" s="25" t="s">
        <v>257</v>
      </c>
      <c r="J49" s="24"/>
      <c r="K49" s="23" t="str">
        <f>"162,5"</f>
        <v>162,5</v>
      </c>
      <c r="L49" s="25" t="str">
        <f>"91,5363"</f>
        <v>91,5363</v>
      </c>
      <c r="M49" s="23" t="s">
        <v>128</v>
      </c>
    </row>
    <row r="50" spans="1:13" ht="12.75">
      <c r="A50" s="23" t="s">
        <v>294</v>
      </c>
      <c r="B50" s="23" t="s">
        <v>122</v>
      </c>
      <c r="C50" s="23" t="s">
        <v>123</v>
      </c>
      <c r="D50" s="23" t="str">
        <f>"0,5610"</f>
        <v>0,5610</v>
      </c>
      <c r="E50" s="23" t="s">
        <v>124</v>
      </c>
      <c r="F50" s="23" t="s">
        <v>20</v>
      </c>
      <c r="G50" s="25" t="s">
        <v>125</v>
      </c>
      <c r="H50" s="25" t="s">
        <v>257</v>
      </c>
      <c r="I50" s="24" t="s">
        <v>258</v>
      </c>
      <c r="J50" s="24"/>
      <c r="K50" s="23" t="str">
        <f>"162,5"</f>
        <v>162,5</v>
      </c>
      <c r="L50" s="25" t="str">
        <f>"91,1625"</f>
        <v>91,1625</v>
      </c>
      <c r="M50" s="23" t="s">
        <v>128</v>
      </c>
    </row>
    <row r="51" spans="1:13" ht="12.75">
      <c r="A51" s="23" t="s">
        <v>296</v>
      </c>
      <c r="B51" s="23" t="s">
        <v>297</v>
      </c>
      <c r="C51" s="23" t="s">
        <v>298</v>
      </c>
      <c r="D51" s="23" t="str">
        <f>"0,5644"</f>
        <v>0,5644</v>
      </c>
      <c r="E51" s="23" t="s">
        <v>19</v>
      </c>
      <c r="F51" s="23" t="s">
        <v>20</v>
      </c>
      <c r="G51" s="24" t="s">
        <v>126</v>
      </c>
      <c r="H51" s="25" t="s">
        <v>126</v>
      </c>
      <c r="I51" s="24" t="s">
        <v>257</v>
      </c>
      <c r="J51" s="24"/>
      <c r="K51" s="23" t="str">
        <f>"155,0"</f>
        <v>155,0</v>
      </c>
      <c r="L51" s="25" t="str">
        <f>"87,4743"</f>
        <v>87,4743</v>
      </c>
      <c r="M51" s="23" t="s">
        <v>128</v>
      </c>
    </row>
    <row r="52" spans="1:13" ht="12.75">
      <c r="A52" s="23" t="s">
        <v>300</v>
      </c>
      <c r="B52" s="23" t="s">
        <v>301</v>
      </c>
      <c r="C52" s="23" t="s">
        <v>302</v>
      </c>
      <c r="D52" s="23" t="str">
        <f>"0,5568"</f>
        <v>0,5568</v>
      </c>
      <c r="E52" s="23" t="s">
        <v>186</v>
      </c>
      <c r="F52" s="23" t="s">
        <v>47</v>
      </c>
      <c r="G52" s="25" t="s">
        <v>27</v>
      </c>
      <c r="H52" s="25" t="s">
        <v>104</v>
      </c>
      <c r="I52" s="24" t="s">
        <v>148</v>
      </c>
      <c r="J52" s="24"/>
      <c r="K52" s="23" t="str">
        <f>"110,0"</f>
        <v>110,0</v>
      </c>
      <c r="L52" s="25" t="str">
        <f>"61,2480"</f>
        <v>61,2480</v>
      </c>
      <c r="M52" s="23" t="s">
        <v>187</v>
      </c>
    </row>
    <row r="53" spans="1:13" ht="12.75">
      <c r="A53" s="9" t="s">
        <v>303</v>
      </c>
      <c r="B53" s="9" t="s">
        <v>304</v>
      </c>
      <c r="C53" s="9" t="s">
        <v>298</v>
      </c>
      <c r="D53" s="9" t="str">
        <f>"0,5644"</f>
        <v>0,5644</v>
      </c>
      <c r="E53" s="9" t="s">
        <v>19</v>
      </c>
      <c r="F53" s="9" t="s">
        <v>20</v>
      </c>
      <c r="G53" s="11" t="s">
        <v>126</v>
      </c>
      <c r="H53" s="10" t="s">
        <v>126</v>
      </c>
      <c r="I53" s="11" t="s">
        <v>257</v>
      </c>
      <c r="J53" s="11"/>
      <c r="K53" s="9" t="str">
        <f>"155,0"</f>
        <v>155,0</v>
      </c>
      <c r="L53" s="10" t="str">
        <f>"90,1860"</f>
        <v>90,1860</v>
      </c>
      <c r="M53" s="9" t="s">
        <v>128</v>
      </c>
    </row>
    <row r="55" spans="1:12" ht="15">
      <c r="A55" s="53" t="s">
        <v>65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</row>
    <row r="56" spans="1:13" ht="12.75">
      <c r="A56" s="6" t="s">
        <v>306</v>
      </c>
      <c r="B56" s="6" t="s">
        <v>307</v>
      </c>
      <c r="C56" s="6" t="s">
        <v>308</v>
      </c>
      <c r="D56" s="6" t="str">
        <f>"0,5495"</f>
        <v>0,5495</v>
      </c>
      <c r="E56" s="6" t="s">
        <v>124</v>
      </c>
      <c r="F56" s="6" t="s">
        <v>20</v>
      </c>
      <c r="G56" s="8" t="s">
        <v>127</v>
      </c>
      <c r="H56" s="7" t="s">
        <v>287</v>
      </c>
      <c r="I56" s="8" t="s">
        <v>287</v>
      </c>
      <c r="J56" s="7"/>
      <c r="K56" s="6" t="str">
        <f>"170,0"</f>
        <v>170,0</v>
      </c>
      <c r="L56" s="8" t="str">
        <f>"93,4150"</f>
        <v>93,4150</v>
      </c>
      <c r="M56" s="6" t="s">
        <v>128</v>
      </c>
    </row>
    <row r="57" spans="1:13" ht="12.75">
      <c r="A57" s="23" t="s">
        <v>310</v>
      </c>
      <c r="B57" s="23" t="s">
        <v>311</v>
      </c>
      <c r="C57" s="23" t="s">
        <v>312</v>
      </c>
      <c r="D57" s="23" t="str">
        <f>"0,5410"</f>
        <v>0,5410</v>
      </c>
      <c r="E57" s="23" t="s">
        <v>124</v>
      </c>
      <c r="F57" s="23" t="s">
        <v>20</v>
      </c>
      <c r="G57" s="25" t="s">
        <v>257</v>
      </c>
      <c r="H57" s="25" t="s">
        <v>313</v>
      </c>
      <c r="I57" s="24" t="s">
        <v>314</v>
      </c>
      <c r="J57" s="24"/>
      <c r="K57" s="23" t="str">
        <f>"167,5"</f>
        <v>167,5</v>
      </c>
      <c r="L57" s="25" t="str">
        <f>"90,6175"</f>
        <v>90,6175</v>
      </c>
      <c r="M57" s="23" t="s">
        <v>128</v>
      </c>
    </row>
    <row r="58" spans="1:13" ht="12.75">
      <c r="A58" s="23" t="s">
        <v>316</v>
      </c>
      <c r="B58" s="23" t="s">
        <v>317</v>
      </c>
      <c r="C58" s="23" t="s">
        <v>318</v>
      </c>
      <c r="D58" s="23" t="str">
        <f>"0,5375"</f>
        <v>0,5375</v>
      </c>
      <c r="E58" s="23" t="s">
        <v>19</v>
      </c>
      <c r="F58" s="23" t="s">
        <v>47</v>
      </c>
      <c r="G58" s="25" t="s">
        <v>126</v>
      </c>
      <c r="H58" s="24" t="s">
        <v>313</v>
      </c>
      <c r="I58" s="25" t="s">
        <v>313</v>
      </c>
      <c r="J58" s="24"/>
      <c r="K58" s="23" t="str">
        <f>"167,5"</f>
        <v>167,5</v>
      </c>
      <c r="L58" s="25" t="str">
        <f>"90,0313"</f>
        <v>90,0313</v>
      </c>
      <c r="M58" s="23" t="s">
        <v>76</v>
      </c>
    </row>
    <row r="59" spans="1:13" ht="12.75">
      <c r="A59" s="23" t="s">
        <v>320</v>
      </c>
      <c r="B59" s="23" t="s">
        <v>321</v>
      </c>
      <c r="C59" s="23" t="s">
        <v>318</v>
      </c>
      <c r="D59" s="23" t="str">
        <f>"0,5375"</f>
        <v>0,5375</v>
      </c>
      <c r="E59" s="23" t="s">
        <v>19</v>
      </c>
      <c r="F59" s="23" t="s">
        <v>47</v>
      </c>
      <c r="G59" s="25" t="s">
        <v>148</v>
      </c>
      <c r="H59" s="25" t="s">
        <v>226</v>
      </c>
      <c r="I59" s="25" t="s">
        <v>252</v>
      </c>
      <c r="J59" s="24"/>
      <c r="K59" s="23" t="str">
        <f>"135,0"</f>
        <v>135,0</v>
      </c>
      <c r="L59" s="25" t="str">
        <f>"87,7281"</f>
        <v>87,7281</v>
      </c>
      <c r="M59" s="23" t="s">
        <v>76</v>
      </c>
    </row>
    <row r="60" spans="1:13" ht="12.75">
      <c r="A60" s="9" t="s">
        <v>323</v>
      </c>
      <c r="B60" s="9" t="s">
        <v>324</v>
      </c>
      <c r="C60" s="9" t="s">
        <v>325</v>
      </c>
      <c r="D60" s="9" t="str">
        <f>"0,5372"</f>
        <v>0,5372</v>
      </c>
      <c r="E60" s="9" t="s">
        <v>124</v>
      </c>
      <c r="F60" s="9" t="s">
        <v>20</v>
      </c>
      <c r="G60" s="10" t="s">
        <v>148</v>
      </c>
      <c r="H60" s="11" t="s">
        <v>267</v>
      </c>
      <c r="I60" s="10" t="s">
        <v>226</v>
      </c>
      <c r="J60" s="11"/>
      <c r="K60" s="9" t="str">
        <f>"130,0"</f>
        <v>130,0</v>
      </c>
      <c r="L60" s="10" t="str">
        <f>"96,3647"</f>
        <v>96,3647</v>
      </c>
      <c r="M60" s="9" t="s">
        <v>128</v>
      </c>
    </row>
    <row r="62" spans="1:12" ht="15">
      <c r="A62" s="53" t="s">
        <v>326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3" ht="12.75">
      <c r="A63" s="12" t="s">
        <v>328</v>
      </c>
      <c r="B63" s="12" t="s">
        <v>329</v>
      </c>
      <c r="C63" s="12" t="s">
        <v>330</v>
      </c>
      <c r="D63" s="12" t="str">
        <f>"0,5311"</f>
        <v>0,5311</v>
      </c>
      <c r="E63" s="12" t="s">
        <v>19</v>
      </c>
      <c r="F63" s="12" t="s">
        <v>47</v>
      </c>
      <c r="G63" s="13" t="s">
        <v>287</v>
      </c>
      <c r="H63" s="13" t="s">
        <v>71</v>
      </c>
      <c r="I63" s="13" t="s">
        <v>72</v>
      </c>
      <c r="J63" s="14"/>
      <c r="K63" s="12" t="str">
        <f>"185,0"</f>
        <v>185,0</v>
      </c>
      <c r="L63" s="13" t="str">
        <f>"98,2535"</f>
        <v>98,2535</v>
      </c>
      <c r="M63" s="12" t="s">
        <v>76</v>
      </c>
    </row>
    <row r="65" spans="5:6" ht="15">
      <c r="E65" s="15" t="s">
        <v>77</v>
      </c>
      <c r="F65" s="4" t="s">
        <v>664</v>
      </c>
    </row>
    <row r="66" spans="5:6" ht="15">
      <c r="E66" s="15" t="s">
        <v>78</v>
      </c>
      <c r="F66" s="4" t="s">
        <v>665</v>
      </c>
    </row>
    <row r="67" spans="5:6" ht="15">
      <c r="E67" s="15" t="s">
        <v>79</v>
      </c>
      <c r="F67" s="4" t="s">
        <v>666</v>
      </c>
    </row>
    <row r="68" spans="5:6" ht="15">
      <c r="E68" s="15" t="s">
        <v>80</v>
      </c>
      <c r="F68" s="4" t="s">
        <v>667</v>
      </c>
    </row>
    <row r="69" spans="5:6" ht="15">
      <c r="E69" s="15" t="s">
        <v>80</v>
      </c>
      <c r="F69" s="4" t="s">
        <v>669</v>
      </c>
    </row>
    <row r="70" spans="5:6" ht="15">
      <c r="E70" s="15" t="s">
        <v>81</v>
      </c>
      <c r="F70" s="4" t="s">
        <v>668</v>
      </c>
    </row>
    <row r="71" ht="15">
      <c r="E71" s="15"/>
    </row>
    <row r="73" spans="1:2" ht="18">
      <c r="A73" s="16" t="s">
        <v>82</v>
      </c>
      <c r="B73" s="16"/>
    </row>
    <row r="74" spans="1:2" ht="15">
      <c r="A74" s="17" t="s">
        <v>83</v>
      </c>
      <c r="B74" s="17"/>
    </row>
    <row r="75" spans="1:2" ht="14.25">
      <c r="A75" s="19"/>
      <c r="B75" s="20" t="s">
        <v>84</v>
      </c>
    </row>
    <row r="76" spans="1:5" ht="15">
      <c r="A76" s="21" t="s">
        <v>85</v>
      </c>
      <c r="B76" s="21" t="s">
        <v>86</v>
      </c>
      <c r="C76" s="21" t="s">
        <v>87</v>
      </c>
      <c r="D76" s="21" t="s">
        <v>88</v>
      </c>
      <c r="E76" s="21" t="s">
        <v>89</v>
      </c>
    </row>
    <row r="77" spans="1:5" ht="12.75">
      <c r="A77" s="18" t="s">
        <v>182</v>
      </c>
      <c r="B77" s="4" t="s">
        <v>98</v>
      </c>
      <c r="C77" s="4" t="s">
        <v>331</v>
      </c>
      <c r="D77" s="4" t="s">
        <v>38</v>
      </c>
      <c r="E77" s="22" t="s">
        <v>332</v>
      </c>
    </row>
    <row r="79" spans="1:2" ht="14.25">
      <c r="A79" s="19"/>
      <c r="B79" s="20" t="s">
        <v>93</v>
      </c>
    </row>
    <row r="80" spans="1:5" ht="15">
      <c r="A80" s="21" t="s">
        <v>85</v>
      </c>
      <c r="B80" s="21" t="s">
        <v>86</v>
      </c>
      <c r="C80" s="21" t="s">
        <v>87</v>
      </c>
      <c r="D80" s="21" t="s">
        <v>88</v>
      </c>
      <c r="E80" s="21" t="s">
        <v>89</v>
      </c>
    </row>
    <row r="81" spans="1:5" ht="12.75">
      <c r="A81" s="18" t="s">
        <v>177</v>
      </c>
      <c r="B81" s="4" t="s">
        <v>93</v>
      </c>
      <c r="C81" s="4" t="s">
        <v>333</v>
      </c>
      <c r="D81" s="4" t="s">
        <v>39</v>
      </c>
      <c r="E81" s="22" t="s">
        <v>334</v>
      </c>
    </row>
    <row r="82" spans="1:5" ht="12.75">
      <c r="A82" s="18" t="s">
        <v>188</v>
      </c>
      <c r="B82" s="4" t="s">
        <v>93</v>
      </c>
      <c r="C82" s="4" t="s">
        <v>99</v>
      </c>
      <c r="D82" s="4" t="s">
        <v>39</v>
      </c>
      <c r="E82" s="22" t="s">
        <v>335</v>
      </c>
    </row>
    <row r="83" spans="1:5" ht="12.75">
      <c r="A83" s="18" t="s">
        <v>196</v>
      </c>
      <c r="B83" s="4" t="s">
        <v>93</v>
      </c>
      <c r="C83" s="4" t="s">
        <v>129</v>
      </c>
      <c r="D83" s="4" t="s">
        <v>25</v>
      </c>
      <c r="E83" s="22" t="s">
        <v>336</v>
      </c>
    </row>
    <row r="85" spans="1:2" ht="14.25">
      <c r="A85" s="19"/>
      <c r="B85" s="20" t="s">
        <v>164</v>
      </c>
    </row>
    <row r="86" spans="1:5" ht="15">
      <c r="A86" s="21" t="s">
        <v>85</v>
      </c>
      <c r="B86" s="21" t="s">
        <v>86</v>
      </c>
      <c r="C86" s="21" t="s">
        <v>87</v>
      </c>
      <c r="D86" s="21" t="s">
        <v>88</v>
      </c>
      <c r="E86" s="21" t="s">
        <v>89</v>
      </c>
    </row>
    <row r="87" spans="1:5" ht="12.75">
      <c r="A87" s="18" t="s">
        <v>192</v>
      </c>
      <c r="B87" s="4" t="s">
        <v>337</v>
      </c>
      <c r="C87" s="4" t="s">
        <v>59</v>
      </c>
      <c r="D87" s="4" t="s">
        <v>26</v>
      </c>
      <c r="E87" s="22" t="s">
        <v>338</v>
      </c>
    </row>
    <row r="90" spans="1:2" ht="15">
      <c r="A90" s="17" t="s">
        <v>96</v>
      </c>
      <c r="B90" s="17"/>
    </row>
    <row r="91" spans="1:2" ht="14.25">
      <c r="A91" s="19"/>
      <c r="B91" s="20" t="s">
        <v>97</v>
      </c>
    </row>
    <row r="92" spans="1:5" ht="15">
      <c r="A92" s="21" t="s">
        <v>85</v>
      </c>
      <c r="B92" s="21" t="s">
        <v>86</v>
      </c>
      <c r="C92" s="21" t="s">
        <v>87</v>
      </c>
      <c r="D92" s="21" t="s">
        <v>88</v>
      </c>
      <c r="E92" s="21" t="s">
        <v>89</v>
      </c>
    </row>
    <row r="93" spans="1:5" ht="12.75">
      <c r="A93" s="18" t="s">
        <v>327</v>
      </c>
      <c r="B93" s="4" t="s">
        <v>339</v>
      </c>
      <c r="C93" s="4" t="s">
        <v>267</v>
      </c>
      <c r="D93" s="4" t="s">
        <v>72</v>
      </c>
      <c r="E93" s="22" t="s">
        <v>340</v>
      </c>
    </row>
    <row r="94" spans="1:5" ht="12.75">
      <c r="A94" s="18" t="s">
        <v>295</v>
      </c>
      <c r="B94" s="4" t="s">
        <v>339</v>
      </c>
      <c r="C94" s="4" t="s">
        <v>27</v>
      </c>
      <c r="D94" s="4" t="s">
        <v>126</v>
      </c>
      <c r="E94" s="22" t="s">
        <v>341</v>
      </c>
    </row>
    <row r="95" spans="1:5" ht="12.75">
      <c r="A95" s="18" t="s">
        <v>205</v>
      </c>
      <c r="B95" s="4" t="s">
        <v>342</v>
      </c>
      <c r="C95" s="4" t="s">
        <v>129</v>
      </c>
      <c r="D95" s="4" t="s">
        <v>104</v>
      </c>
      <c r="E95" s="22" t="s">
        <v>343</v>
      </c>
    </row>
    <row r="97" spans="1:2" ht="14.25">
      <c r="A97" s="19"/>
      <c r="B97" s="20" t="s">
        <v>93</v>
      </c>
    </row>
    <row r="98" spans="1:5" ht="15">
      <c r="A98" s="21" t="s">
        <v>85</v>
      </c>
      <c r="B98" s="21" t="s">
        <v>86</v>
      </c>
      <c r="C98" s="21" t="s">
        <v>87</v>
      </c>
      <c r="D98" s="21" t="s">
        <v>88</v>
      </c>
      <c r="E98" s="21" t="s">
        <v>89</v>
      </c>
    </row>
    <row r="99" spans="1:5" ht="12.75">
      <c r="A99" s="18" t="s">
        <v>210</v>
      </c>
      <c r="B99" s="4" t="s">
        <v>93</v>
      </c>
      <c r="C99" s="4" t="s">
        <v>129</v>
      </c>
      <c r="D99" s="4" t="s">
        <v>216</v>
      </c>
      <c r="E99" s="22" t="s">
        <v>344</v>
      </c>
    </row>
    <row r="100" spans="1:5" ht="12.75">
      <c r="A100" s="18" t="s">
        <v>253</v>
      </c>
      <c r="B100" s="4" t="s">
        <v>93</v>
      </c>
      <c r="C100" s="4" t="s">
        <v>36</v>
      </c>
      <c r="D100" s="4" t="s">
        <v>258</v>
      </c>
      <c r="E100" s="22" t="s">
        <v>345</v>
      </c>
    </row>
    <row r="101" spans="1:5" ht="12.75">
      <c r="A101" s="18" t="s">
        <v>283</v>
      </c>
      <c r="B101" s="4" t="s">
        <v>93</v>
      </c>
      <c r="C101" s="4" t="s">
        <v>27</v>
      </c>
      <c r="D101" s="4" t="s">
        <v>287</v>
      </c>
      <c r="E101" s="22" t="s">
        <v>346</v>
      </c>
    </row>
    <row r="102" spans="1:5" ht="12.75">
      <c r="A102" s="18" t="s">
        <v>233</v>
      </c>
      <c r="B102" s="4" t="s">
        <v>93</v>
      </c>
      <c r="C102" s="4" t="s">
        <v>63</v>
      </c>
      <c r="D102" s="4" t="s">
        <v>125</v>
      </c>
      <c r="E102" s="22" t="s">
        <v>347</v>
      </c>
    </row>
    <row r="103" spans="1:5" ht="12.75">
      <c r="A103" s="18" t="s">
        <v>305</v>
      </c>
      <c r="B103" s="4" t="s">
        <v>93</v>
      </c>
      <c r="C103" s="4" t="s">
        <v>104</v>
      </c>
      <c r="D103" s="4" t="s">
        <v>287</v>
      </c>
      <c r="E103" s="22" t="s">
        <v>348</v>
      </c>
    </row>
    <row r="104" spans="1:5" ht="12.75">
      <c r="A104" s="18" t="s">
        <v>289</v>
      </c>
      <c r="B104" s="4" t="s">
        <v>93</v>
      </c>
      <c r="C104" s="4" t="s">
        <v>27</v>
      </c>
      <c r="D104" s="4" t="s">
        <v>257</v>
      </c>
      <c r="E104" s="22" t="s">
        <v>349</v>
      </c>
    </row>
    <row r="105" spans="1:5" ht="12.75">
      <c r="A105" s="18" t="s">
        <v>120</v>
      </c>
      <c r="B105" s="4" t="s">
        <v>93</v>
      </c>
      <c r="C105" s="4" t="s">
        <v>27</v>
      </c>
      <c r="D105" s="4" t="s">
        <v>257</v>
      </c>
      <c r="E105" s="22" t="s">
        <v>350</v>
      </c>
    </row>
    <row r="106" spans="1:5" ht="12.75">
      <c r="A106" s="18" t="s">
        <v>309</v>
      </c>
      <c r="B106" s="4" t="s">
        <v>93</v>
      </c>
      <c r="C106" s="4" t="s">
        <v>104</v>
      </c>
      <c r="D106" s="4" t="s">
        <v>313</v>
      </c>
      <c r="E106" s="22" t="s">
        <v>351</v>
      </c>
    </row>
    <row r="107" spans="1:5" ht="12.75">
      <c r="A107" s="18" t="s">
        <v>315</v>
      </c>
      <c r="B107" s="4" t="s">
        <v>93</v>
      </c>
      <c r="C107" s="4" t="s">
        <v>104</v>
      </c>
      <c r="D107" s="4" t="s">
        <v>313</v>
      </c>
      <c r="E107" s="22" t="s">
        <v>352</v>
      </c>
    </row>
    <row r="108" spans="1:5" ht="12.75">
      <c r="A108" s="18" t="s">
        <v>200</v>
      </c>
      <c r="B108" s="4" t="s">
        <v>93</v>
      </c>
      <c r="C108" s="4" t="s">
        <v>59</v>
      </c>
      <c r="D108" s="4" t="s">
        <v>104</v>
      </c>
      <c r="E108" s="22" t="s">
        <v>353</v>
      </c>
    </row>
    <row r="109" spans="1:5" ht="12.75">
      <c r="A109" s="18" t="s">
        <v>259</v>
      </c>
      <c r="B109" s="4" t="s">
        <v>93</v>
      </c>
      <c r="C109" s="4" t="s">
        <v>36</v>
      </c>
      <c r="D109" s="4" t="s">
        <v>125</v>
      </c>
      <c r="E109" s="22" t="s">
        <v>354</v>
      </c>
    </row>
    <row r="110" spans="1:5" ht="12.75">
      <c r="A110" s="18" t="s">
        <v>222</v>
      </c>
      <c r="B110" s="4" t="s">
        <v>93</v>
      </c>
      <c r="C110" s="4" t="s">
        <v>21</v>
      </c>
      <c r="D110" s="4" t="s">
        <v>226</v>
      </c>
      <c r="E110" s="22" t="s">
        <v>355</v>
      </c>
    </row>
    <row r="111" spans="1:5" ht="12.75">
      <c r="A111" s="18" t="s">
        <v>295</v>
      </c>
      <c r="B111" s="4" t="s">
        <v>93</v>
      </c>
      <c r="C111" s="4" t="s">
        <v>27</v>
      </c>
      <c r="D111" s="4" t="s">
        <v>126</v>
      </c>
      <c r="E111" s="22" t="s">
        <v>356</v>
      </c>
    </row>
    <row r="112" spans="1:5" ht="12.75">
      <c r="A112" s="18" t="s">
        <v>228</v>
      </c>
      <c r="B112" s="4" t="s">
        <v>93</v>
      </c>
      <c r="C112" s="4" t="s">
        <v>21</v>
      </c>
      <c r="D112" s="4" t="s">
        <v>104</v>
      </c>
      <c r="E112" s="22" t="s">
        <v>357</v>
      </c>
    </row>
    <row r="113" spans="1:5" ht="12.75">
      <c r="A113" s="18" t="s">
        <v>263</v>
      </c>
      <c r="B113" s="4" t="s">
        <v>93</v>
      </c>
      <c r="C113" s="4" t="s">
        <v>36</v>
      </c>
      <c r="D113" s="4" t="s">
        <v>267</v>
      </c>
      <c r="E113" s="22" t="s">
        <v>358</v>
      </c>
    </row>
    <row r="114" spans="1:5" ht="12.75">
      <c r="A114" s="18" t="s">
        <v>268</v>
      </c>
      <c r="B114" s="4" t="s">
        <v>93</v>
      </c>
      <c r="C114" s="4" t="s">
        <v>36</v>
      </c>
      <c r="D114" s="4" t="s">
        <v>232</v>
      </c>
      <c r="E114" s="22" t="s">
        <v>359</v>
      </c>
    </row>
    <row r="115" spans="1:5" ht="12.75">
      <c r="A115" s="18" t="s">
        <v>239</v>
      </c>
      <c r="B115" s="4" t="s">
        <v>93</v>
      </c>
      <c r="C115" s="4" t="s">
        <v>63</v>
      </c>
      <c r="D115" s="4" t="s">
        <v>28</v>
      </c>
      <c r="E115" s="22" t="s">
        <v>360</v>
      </c>
    </row>
    <row r="116" spans="1:5" ht="12.75">
      <c r="A116" s="18" t="s">
        <v>299</v>
      </c>
      <c r="B116" s="4" t="s">
        <v>93</v>
      </c>
      <c r="C116" s="4" t="s">
        <v>27</v>
      </c>
      <c r="D116" s="4" t="s">
        <v>104</v>
      </c>
      <c r="E116" s="22" t="s">
        <v>361</v>
      </c>
    </row>
    <row r="118" spans="1:2" ht="14.25">
      <c r="A118" s="19"/>
      <c r="B118" s="20" t="s">
        <v>164</v>
      </c>
    </row>
    <row r="119" spans="1:5" ht="15">
      <c r="A119" s="21" t="s">
        <v>85</v>
      </c>
      <c r="B119" s="21" t="s">
        <v>86</v>
      </c>
      <c r="C119" s="21" t="s">
        <v>87</v>
      </c>
      <c r="D119" s="21" t="s">
        <v>88</v>
      </c>
      <c r="E119" s="21" t="s">
        <v>89</v>
      </c>
    </row>
    <row r="120" spans="1:5" ht="12.75">
      <c r="A120" s="18" t="s">
        <v>244</v>
      </c>
      <c r="B120" s="4" t="s">
        <v>362</v>
      </c>
      <c r="C120" s="4" t="s">
        <v>63</v>
      </c>
      <c r="D120" s="4" t="s">
        <v>237</v>
      </c>
      <c r="E120" s="22" t="s">
        <v>363</v>
      </c>
    </row>
    <row r="121" spans="1:5" ht="12.75">
      <c r="A121" s="18" t="s">
        <v>327</v>
      </c>
      <c r="B121" s="4" t="s">
        <v>339</v>
      </c>
      <c r="C121" s="4" t="s">
        <v>267</v>
      </c>
      <c r="D121" s="4" t="s">
        <v>72</v>
      </c>
      <c r="E121" s="22" t="s">
        <v>340</v>
      </c>
    </row>
    <row r="122" spans="1:5" ht="12.75">
      <c r="A122" s="18" t="s">
        <v>322</v>
      </c>
      <c r="B122" s="4" t="s">
        <v>165</v>
      </c>
      <c r="C122" s="4" t="s">
        <v>104</v>
      </c>
      <c r="D122" s="4" t="s">
        <v>226</v>
      </c>
      <c r="E122" s="22" t="s">
        <v>364</v>
      </c>
    </row>
    <row r="123" spans="1:5" ht="12.75">
      <c r="A123" s="18" t="s">
        <v>295</v>
      </c>
      <c r="B123" s="4" t="s">
        <v>339</v>
      </c>
      <c r="C123" s="4" t="s">
        <v>27</v>
      </c>
      <c r="D123" s="4" t="s">
        <v>126</v>
      </c>
      <c r="E123" s="22" t="s">
        <v>341</v>
      </c>
    </row>
    <row r="124" spans="1:5" ht="12.75">
      <c r="A124" s="18" t="s">
        <v>319</v>
      </c>
      <c r="B124" s="4" t="s">
        <v>362</v>
      </c>
      <c r="C124" s="4" t="s">
        <v>104</v>
      </c>
      <c r="D124" s="4" t="s">
        <v>252</v>
      </c>
      <c r="E124" s="22" t="s">
        <v>365</v>
      </c>
    </row>
    <row r="125" spans="1:5" ht="12.75">
      <c r="A125" s="18" t="s">
        <v>278</v>
      </c>
      <c r="B125" s="4" t="s">
        <v>362</v>
      </c>
      <c r="C125" s="4" t="s">
        <v>36</v>
      </c>
      <c r="D125" s="4" t="s">
        <v>148</v>
      </c>
      <c r="E125" s="22" t="s">
        <v>366</v>
      </c>
    </row>
  </sheetData>
  <sheetProtection/>
  <mergeCells count="24">
    <mergeCell ref="A37:L37"/>
    <mergeCell ref="A47:L47"/>
    <mergeCell ref="A55:L55"/>
    <mergeCell ref="A62:L62"/>
    <mergeCell ref="A14:L14"/>
    <mergeCell ref="A17:L17"/>
    <mergeCell ref="A20:L20"/>
    <mergeCell ref="A23:L23"/>
    <mergeCell ref="A28:L28"/>
    <mergeCell ref="A32:L32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1.87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9.875" style="4" bestFit="1" customWidth="1"/>
    <col min="14" max="16384" width="9.125" style="3" customWidth="1"/>
  </cols>
  <sheetData>
    <row r="1" spans="1:13" s="2" customFormat="1" ht="28.5" customHeight="1">
      <c r="A1" s="44" t="s">
        <v>167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0</v>
      </c>
      <c r="B3" s="52" t="s">
        <v>6</v>
      </c>
      <c r="C3" s="52" t="s">
        <v>7</v>
      </c>
      <c r="D3" s="38" t="s">
        <v>10</v>
      </c>
      <c r="E3" s="38" t="s">
        <v>4</v>
      </c>
      <c r="F3" s="38" t="s">
        <v>8</v>
      </c>
      <c r="G3" s="38" t="s">
        <v>12</v>
      </c>
      <c r="H3" s="38"/>
      <c r="I3" s="38"/>
      <c r="J3" s="38"/>
      <c r="K3" s="38" t="s">
        <v>133</v>
      </c>
      <c r="L3" s="38" t="s">
        <v>3</v>
      </c>
      <c r="M3" s="40" t="s">
        <v>2</v>
      </c>
    </row>
    <row r="4" spans="1:13" s="1" customFormat="1" ht="21" customHeight="1" thickBot="1">
      <c r="A4" s="51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5</v>
      </c>
      <c r="K4" s="39"/>
      <c r="L4" s="39"/>
      <c r="M4" s="41"/>
    </row>
    <row r="5" spans="1:12" ht="15">
      <c r="A5" s="42" t="s">
        <v>42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12" t="s">
        <v>169</v>
      </c>
      <c r="B6" s="12" t="s">
        <v>170</v>
      </c>
      <c r="C6" s="12" t="s">
        <v>171</v>
      </c>
      <c r="D6" s="12" t="str">
        <f>"0,9124"</f>
        <v>0,9124</v>
      </c>
      <c r="E6" s="12" t="s">
        <v>19</v>
      </c>
      <c r="F6" s="12" t="s">
        <v>47</v>
      </c>
      <c r="G6" s="13" t="s">
        <v>61</v>
      </c>
      <c r="H6" s="13" t="s">
        <v>22</v>
      </c>
      <c r="I6" s="13" t="s">
        <v>23</v>
      </c>
      <c r="J6" s="14"/>
      <c r="K6" s="12" t="str">
        <f>"85,0"</f>
        <v>85,0</v>
      </c>
      <c r="L6" s="13" t="str">
        <f>"140,3727"</f>
        <v>140,3727</v>
      </c>
      <c r="M6" s="12" t="s">
        <v>172</v>
      </c>
    </row>
    <row r="8" spans="5:6" ht="15">
      <c r="E8" s="15" t="s">
        <v>77</v>
      </c>
      <c r="F8" s="4" t="s">
        <v>664</v>
      </c>
    </row>
    <row r="9" spans="5:6" ht="15">
      <c r="E9" s="15" t="s">
        <v>78</v>
      </c>
      <c r="F9" s="4" t="s">
        <v>665</v>
      </c>
    </row>
    <row r="10" spans="5:6" ht="15">
      <c r="E10" s="15" t="s">
        <v>79</v>
      </c>
      <c r="F10" s="4" t="s">
        <v>666</v>
      </c>
    </row>
    <row r="11" spans="5:6" ht="15">
      <c r="E11" s="15" t="s">
        <v>80</v>
      </c>
      <c r="F11" s="37" t="s">
        <v>678</v>
      </c>
    </row>
    <row r="12" spans="5:6" ht="15">
      <c r="E12" s="15" t="s">
        <v>80</v>
      </c>
      <c r="F12" s="4" t="s">
        <v>669</v>
      </c>
    </row>
    <row r="13" spans="5:6" ht="15">
      <c r="E13" s="15" t="s">
        <v>81</v>
      </c>
      <c r="F13" s="4" t="s">
        <v>668</v>
      </c>
    </row>
    <row r="14" ht="15">
      <c r="E14" s="15"/>
    </row>
    <row r="16" spans="1:2" ht="18">
      <c r="A16" s="16" t="s">
        <v>82</v>
      </c>
      <c r="B16" s="16"/>
    </row>
    <row r="17" spans="1:2" ht="15">
      <c r="A17" s="17" t="s">
        <v>83</v>
      </c>
      <c r="B17" s="17"/>
    </row>
    <row r="18" spans="1:2" ht="14.25">
      <c r="A18" s="19"/>
      <c r="B18" s="20" t="s">
        <v>164</v>
      </c>
    </row>
    <row r="19" spans="1:5" ht="15">
      <c r="A19" s="21" t="s">
        <v>85</v>
      </c>
      <c r="B19" s="21" t="s">
        <v>86</v>
      </c>
      <c r="C19" s="21" t="s">
        <v>87</v>
      </c>
      <c r="D19" s="21" t="s">
        <v>88</v>
      </c>
      <c r="E19" s="21" t="s">
        <v>89</v>
      </c>
    </row>
    <row r="20" spans="1:5" ht="12.75">
      <c r="A20" s="18" t="s">
        <v>168</v>
      </c>
      <c r="B20" s="4" t="s">
        <v>173</v>
      </c>
      <c r="C20" s="4" t="s">
        <v>99</v>
      </c>
      <c r="D20" s="4" t="s">
        <v>23</v>
      </c>
      <c r="E20" s="22" t="s">
        <v>174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F15" sqref="F15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1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20.25390625" style="4" bestFit="1" customWidth="1"/>
    <col min="14" max="16384" width="9.125" style="3" customWidth="1"/>
  </cols>
  <sheetData>
    <row r="1" spans="1:13" s="2" customFormat="1" ht="28.5" customHeight="1">
      <c r="A1" s="44" t="s">
        <v>143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0</v>
      </c>
      <c r="B3" s="52" t="s">
        <v>6</v>
      </c>
      <c r="C3" s="52" t="s">
        <v>7</v>
      </c>
      <c r="D3" s="38" t="s">
        <v>10</v>
      </c>
      <c r="E3" s="38" t="s">
        <v>4</v>
      </c>
      <c r="F3" s="38" t="s">
        <v>8</v>
      </c>
      <c r="G3" s="38" t="s">
        <v>12</v>
      </c>
      <c r="H3" s="38"/>
      <c r="I3" s="38"/>
      <c r="J3" s="38"/>
      <c r="K3" s="38" t="s">
        <v>133</v>
      </c>
      <c r="L3" s="38" t="s">
        <v>3</v>
      </c>
      <c r="M3" s="40" t="s">
        <v>2</v>
      </c>
    </row>
    <row r="4" spans="1:13" s="1" customFormat="1" ht="21" customHeight="1" thickBot="1">
      <c r="A4" s="51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5</v>
      </c>
      <c r="K4" s="39"/>
      <c r="L4" s="39"/>
      <c r="M4" s="41"/>
    </row>
    <row r="5" spans="1:12" ht="15">
      <c r="A5" s="42" t="s">
        <v>113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6" t="s">
        <v>145</v>
      </c>
      <c r="B6" s="6" t="s">
        <v>146</v>
      </c>
      <c r="C6" s="6" t="s">
        <v>147</v>
      </c>
      <c r="D6" s="6" t="str">
        <f>"0,6227"</f>
        <v>0,6227</v>
      </c>
      <c r="E6" s="6" t="s">
        <v>19</v>
      </c>
      <c r="F6" s="6" t="s">
        <v>47</v>
      </c>
      <c r="G6" s="8" t="s">
        <v>104</v>
      </c>
      <c r="H6" s="8" t="s">
        <v>140</v>
      </c>
      <c r="I6" s="7" t="s">
        <v>148</v>
      </c>
      <c r="J6" s="7"/>
      <c r="K6" s="6" t="str">
        <f>"117,5"</f>
        <v>117,5</v>
      </c>
      <c r="L6" s="8" t="str">
        <f>"74,6306"</f>
        <v>74,6306</v>
      </c>
      <c r="M6" s="6" t="s">
        <v>149</v>
      </c>
    </row>
    <row r="7" spans="1:13" ht="12.75">
      <c r="A7" s="9" t="s">
        <v>151</v>
      </c>
      <c r="B7" s="9" t="s">
        <v>152</v>
      </c>
      <c r="C7" s="9" t="s">
        <v>153</v>
      </c>
      <c r="D7" s="9" t="str">
        <f>"0,6198"</f>
        <v>0,6198</v>
      </c>
      <c r="E7" s="9" t="s">
        <v>19</v>
      </c>
      <c r="F7" s="9" t="s">
        <v>47</v>
      </c>
      <c r="G7" s="10" t="s">
        <v>104</v>
      </c>
      <c r="H7" s="10" t="s">
        <v>140</v>
      </c>
      <c r="I7" s="11" t="s">
        <v>154</v>
      </c>
      <c r="J7" s="11"/>
      <c r="K7" s="9" t="str">
        <f>"117,5"</f>
        <v>117,5</v>
      </c>
      <c r="L7" s="10" t="str">
        <f>"72,8265"</f>
        <v>72,8265</v>
      </c>
      <c r="M7" s="9" t="s">
        <v>149</v>
      </c>
    </row>
    <row r="9" spans="1:12" ht="15">
      <c r="A9" s="53" t="s">
        <v>155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3" ht="12.75">
      <c r="A10" s="12" t="s">
        <v>157</v>
      </c>
      <c r="B10" s="12" t="s">
        <v>158</v>
      </c>
      <c r="C10" s="12" t="s">
        <v>159</v>
      </c>
      <c r="D10" s="12" t="str">
        <f>"0,6031"</f>
        <v>0,6031</v>
      </c>
      <c r="E10" s="12" t="s">
        <v>19</v>
      </c>
      <c r="F10" s="12" t="s">
        <v>47</v>
      </c>
      <c r="G10" s="13" t="s">
        <v>27</v>
      </c>
      <c r="H10" s="13" t="s">
        <v>28</v>
      </c>
      <c r="I10" s="14"/>
      <c r="J10" s="14"/>
      <c r="K10" s="12" t="str">
        <f>"105,0"</f>
        <v>105,0</v>
      </c>
      <c r="L10" s="13" t="str">
        <f>"97,2046"</f>
        <v>97,2046</v>
      </c>
      <c r="M10" s="12" t="s">
        <v>149</v>
      </c>
    </row>
    <row r="12" spans="5:6" ht="15">
      <c r="E12" s="15" t="s">
        <v>77</v>
      </c>
      <c r="F12" s="4" t="s">
        <v>664</v>
      </c>
    </row>
    <row r="13" spans="5:6" ht="15">
      <c r="E13" s="15" t="s">
        <v>78</v>
      </c>
      <c r="F13" s="4" t="s">
        <v>665</v>
      </c>
    </row>
    <row r="14" spans="5:6" ht="15">
      <c r="E14" s="15" t="s">
        <v>79</v>
      </c>
      <c r="F14" s="4" t="s">
        <v>666</v>
      </c>
    </row>
    <row r="15" spans="5:6" ht="15">
      <c r="E15" s="15" t="s">
        <v>80</v>
      </c>
      <c r="F15" s="37" t="s">
        <v>678</v>
      </c>
    </row>
    <row r="16" spans="5:6" ht="15">
      <c r="E16" s="15" t="s">
        <v>80</v>
      </c>
      <c r="F16" s="4" t="s">
        <v>669</v>
      </c>
    </row>
    <row r="17" spans="5:6" ht="15">
      <c r="E17" s="15" t="s">
        <v>81</v>
      </c>
      <c r="F17" s="4" t="s">
        <v>668</v>
      </c>
    </row>
    <row r="18" ht="15">
      <c r="E18" s="15"/>
    </row>
    <row r="20" spans="1:2" ht="18">
      <c r="A20" s="16" t="s">
        <v>82</v>
      </c>
      <c r="B20" s="16"/>
    </row>
    <row r="21" spans="1:2" ht="15">
      <c r="A21" s="17" t="s">
        <v>96</v>
      </c>
      <c r="B21" s="17"/>
    </row>
    <row r="22" spans="1:2" ht="14.25">
      <c r="A22" s="19"/>
      <c r="B22" s="20" t="s">
        <v>160</v>
      </c>
    </row>
    <row r="23" spans="1:5" ht="15">
      <c r="A23" s="21" t="s">
        <v>85</v>
      </c>
      <c r="B23" s="21" t="s">
        <v>86</v>
      </c>
      <c r="C23" s="21" t="s">
        <v>87</v>
      </c>
      <c r="D23" s="21" t="s">
        <v>88</v>
      </c>
      <c r="E23" s="21" t="s">
        <v>89</v>
      </c>
    </row>
    <row r="24" spans="1:5" ht="12.75">
      <c r="A24" s="18" t="s">
        <v>144</v>
      </c>
      <c r="B24" s="4" t="s">
        <v>161</v>
      </c>
      <c r="C24" s="4" t="s">
        <v>63</v>
      </c>
      <c r="D24" s="4" t="s">
        <v>140</v>
      </c>
      <c r="E24" s="22" t="s">
        <v>162</v>
      </c>
    </row>
    <row r="26" spans="1:2" ht="14.25">
      <c r="A26" s="19"/>
      <c r="B26" s="20" t="s">
        <v>93</v>
      </c>
    </row>
    <row r="27" spans="1:5" ht="15">
      <c r="A27" s="21" t="s">
        <v>85</v>
      </c>
      <c r="B27" s="21" t="s">
        <v>86</v>
      </c>
      <c r="C27" s="21" t="s">
        <v>87</v>
      </c>
      <c r="D27" s="21" t="s">
        <v>88</v>
      </c>
      <c r="E27" s="21" t="s">
        <v>89</v>
      </c>
    </row>
    <row r="28" spans="1:5" ht="12.75">
      <c r="A28" s="18" t="s">
        <v>150</v>
      </c>
      <c r="B28" s="4" t="s">
        <v>93</v>
      </c>
      <c r="C28" s="4" t="s">
        <v>63</v>
      </c>
      <c r="D28" s="4" t="s">
        <v>140</v>
      </c>
      <c r="E28" s="22" t="s">
        <v>163</v>
      </c>
    </row>
    <row r="30" spans="1:2" ht="14.25">
      <c r="A30" s="19"/>
      <c r="B30" s="20" t="s">
        <v>164</v>
      </c>
    </row>
    <row r="31" spans="1:5" ht="15">
      <c r="A31" s="21" t="s">
        <v>85</v>
      </c>
      <c r="B31" s="21" t="s">
        <v>86</v>
      </c>
      <c r="C31" s="21" t="s">
        <v>87</v>
      </c>
      <c r="D31" s="21" t="s">
        <v>88</v>
      </c>
      <c r="E31" s="21" t="s">
        <v>89</v>
      </c>
    </row>
    <row r="32" spans="1:5" ht="12.75">
      <c r="A32" s="18" t="s">
        <v>156</v>
      </c>
      <c r="B32" s="4" t="s">
        <v>165</v>
      </c>
      <c r="C32" s="4" t="s">
        <v>36</v>
      </c>
      <c r="D32" s="4" t="s">
        <v>28</v>
      </c>
      <c r="E32" s="22" t="s">
        <v>166</v>
      </c>
    </row>
  </sheetData>
  <sheetProtection/>
  <mergeCells count="13">
    <mergeCell ref="A5:L5"/>
    <mergeCell ref="A9:L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H30" sqref="H30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1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6.875" style="4" bestFit="1" customWidth="1"/>
    <col min="14" max="16384" width="9.125" style="3" customWidth="1"/>
  </cols>
  <sheetData>
    <row r="1" spans="1:13" s="2" customFormat="1" ht="28.5" customHeight="1">
      <c r="A1" s="44" t="s">
        <v>134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0</v>
      </c>
      <c r="B3" s="52" t="s">
        <v>6</v>
      </c>
      <c r="C3" s="52" t="s">
        <v>7</v>
      </c>
      <c r="D3" s="38" t="s">
        <v>10</v>
      </c>
      <c r="E3" s="38" t="s">
        <v>4</v>
      </c>
      <c r="F3" s="38" t="s">
        <v>8</v>
      </c>
      <c r="G3" s="38" t="s">
        <v>12</v>
      </c>
      <c r="H3" s="38"/>
      <c r="I3" s="38"/>
      <c r="J3" s="38"/>
      <c r="K3" s="38" t="s">
        <v>133</v>
      </c>
      <c r="L3" s="38" t="s">
        <v>3</v>
      </c>
      <c r="M3" s="40" t="s">
        <v>2</v>
      </c>
    </row>
    <row r="4" spans="1:13" s="1" customFormat="1" ht="21" customHeight="1" thickBot="1">
      <c r="A4" s="51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5</v>
      </c>
      <c r="K4" s="39"/>
      <c r="L4" s="39"/>
      <c r="M4" s="41"/>
    </row>
    <row r="5" spans="1:12" ht="15">
      <c r="A5" s="42" t="s">
        <v>113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12" t="s">
        <v>136</v>
      </c>
      <c r="B6" s="12" t="s">
        <v>137</v>
      </c>
      <c r="C6" s="12" t="s">
        <v>138</v>
      </c>
      <c r="D6" s="12" t="str">
        <f>"0,6817"</f>
        <v>0,6817</v>
      </c>
      <c r="E6" s="12" t="s">
        <v>58</v>
      </c>
      <c r="F6" s="12" t="s">
        <v>47</v>
      </c>
      <c r="G6" s="13" t="s">
        <v>28</v>
      </c>
      <c r="H6" s="13" t="s">
        <v>139</v>
      </c>
      <c r="I6" s="13" t="s">
        <v>140</v>
      </c>
      <c r="J6" s="14"/>
      <c r="K6" s="12" t="str">
        <f>"117,5"</f>
        <v>117,5</v>
      </c>
      <c r="L6" s="13" t="str">
        <f>"80,0997"</f>
        <v>80,0997</v>
      </c>
      <c r="M6" s="12" t="s">
        <v>141</v>
      </c>
    </row>
    <row r="8" spans="5:6" ht="15">
      <c r="E8" s="15" t="s">
        <v>77</v>
      </c>
      <c r="F8" s="4" t="s">
        <v>664</v>
      </c>
    </row>
    <row r="9" spans="5:6" ht="15">
      <c r="E9" s="15" t="s">
        <v>78</v>
      </c>
      <c r="F9" s="4" t="s">
        <v>665</v>
      </c>
    </row>
    <row r="10" spans="5:6" ht="15">
      <c r="E10" s="15" t="s">
        <v>79</v>
      </c>
      <c r="F10" s="4" t="s">
        <v>666</v>
      </c>
    </row>
    <row r="11" spans="5:6" ht="15">
      <c r="E11" s="15" t="s">
        <v>80</v>
      </c>
      <c r="F11" s="37" t="s">
        <v>678</v>
      </c>
    </row>
    <row r="12" spans="5:6" ht="15">
      <c r="E12" s="15" t="s">
        <v>80</v>
      </c>
      <c r="F12" s="4" t="s">
        <v>669</v>
      </c>
    </row>
    <row r="13" spans="5:6" ht="15">
      <c r="E13" s="15" t="s">
        <v>81</v>
      </c>
      <c r="F13" s="4" t="s">
        <v>668</v>
      </c>
    </row>
    <row r="14" ht="15">
      <c r="E14" s="15"/>
    </row>
    <row r="16" spans="1:2" ht="18">
      <c r="A16" s="16" t="s">
        <v>82</v>
      </c>
      <c r="B16" s="16"/>
    </row>
    <row r="17" spans="1:2" ht="15">
      <c r="A17" s="17" t="s">
        <v>83</v>
      </c>
      <c r="B17" s="17"/>
    </row>
    <row r="18" spans="1:2" ht="14.25">
      <c r="A18" s="19"/>
      <c r="B18" s="20" t="s">
        <v>93</v>
      </c>
    </row>
    <row r="19" spans="1:5" ht="15">
      <c r="A19" s="21" t="s">
        <v>85</v>
      </c>
      <c r="B19" s="21" t="s">
        <v>86</v>
      </c>
      <c r="C19" s="21" t="s">
        <v>87</v>
      </c>
      <c r="D19" s="21" t="s">
        <v>88</v>
      </c>
      <c r="E19" s="21" t="s">
        <v>89</v>
      </c>
    </row>
    <row r="20" spans="1:5" ht="12.75">
      <c r="A20" s="18" t="s">
        <v>135</v>
      </c>
      <c r="B20" s="4" t="s">
        <v>93</v>
      </c>
      <c r="C20" s="4" t="s">
        <v>63</v>
      </c>
      <c r="D20" s="4" t="s">
        <v>140</v>
      </c>
      <c r="E20" s="22" t="s">
        <v>142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I22" sqref="I21:I2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4.1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6.375" style="4" bestFit="1" customWidth="1"/>
    <col min="14" max="16384" width="9.125" style="3" customWidth="1"/>
  </cols>
  <sheetData>
    <row r="1" spans="1:13" s="2" customFormat="1" ht="28.5" customHeight="1">
      <c r="A1" s="44" t="s">
        <v>107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0</v>
      </c>
      <c r="B3" s="52" t="s">
        <v>6</v>
      </c>
      <c r="C3" s="52" t="s">
        <v>7</v>
      </c>
      <c r="D3" s="38" t="s">
        <v>10</v>
      </c>
      <c r="E3" s="38" t="s">
        <v>4</v>
      </c>
      <c r="F3" s="38" t="s">
        <v>8</v>
      </c>
      <c r="G3" s="38" t="s">
        <v>12</v>
      </c>
      <c r="H3" s="38"/>
      <c r="I3" s="38"/>
      <c r="J3" s="38"/>
      <c r="K3" s="38" t="s">
        <v>133</v>
      </c>
      <c r="L3" s="38" t="s">
        <v>3</v>
      </c>
      <c r="M3" s="40" t="s">
        <v>2</v>
      </c>
    </row>
    <row r="4" spans="1:13" s="1" customFormat="1" ht="21" customHeight="1" thickBot="1">
      <c r="A4" s="51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5</v>
      </c>
      <c r="K4" s="39"/>
      <c r="L4" s="39"/>
      <c r="M4" s="41"/>
    </row>
    <row r="5" spans="1:12" ht="15">
      <c r="A5" s="42" t="s">
        <v>108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12" t="s">
        <v>110</v>
      </c>
      <c r="B6" s="12" t="s">
        <v>111</v>
      </c>
      <c r="C6" s="12" t="s">
        <v>112</v>
      </c>
      <c r="D6" s="12" t="str">
        <f>"0,8153"</f>
        <v>0,8153</v>
      </c>
      <c r="E6" s="12" t="s">
        <v>19</v>
      </c>
      <c r="F6" s="12" t="s">
        <v>47</v>
      </c>
      <c r="G6" s="13" t="s">
        <v>38</v>
      </c>
      <c r="H6" s="13" t="s">
        <v>62</v>
      </c>
      <c r="I6" s="14" t="s">
        <v>39</v>
      </c>
      <c r="J6" s="14"/>
      <c r="K6" s="12" t="str">
        <f>"47,5"</f>
        <v>47,5</v>
      </c>
      <c r="L6" s="13" t="str">
        <f>"38,7291"</f>
        <v>38,7291</v>
      </c>
      <c r="M6" s="12" t="s">
        <v>76</v>
      </c>
    </row>
    <row r="8" spans="1:12" ht="15">
      <c r="A8" s="53" t="s">
        <v>113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3" ht="12.75">
      <c r="A9" s="12" t="s">
        <v>115</v>
      </c>
      <c r="B9" s="12" t="s">
        <v>116</v>
      </c>
      <c r="C9" s="12" t="s">
        <v>117</v>
      </c>
      <c r="D9" s="12" t="str">
        <f>"0,6433"</f>
        <v>0,6433</v>
      </c>
      <c r="E9" s="12" t="s">
        <v>58</v>
      </c>
      <c r="F9" s="12" t="s">
        <v>47</v>
      </c>
      <c r="G9" s="13" t="s">
        <v>63</v>
      </c>
      <c r="H9" s="13" t="s">
        <v>48</v>
      </c>
      <c r="I9" s="13" t="s">
        <v>36</v>
      </c>
      <c r="J9" s="14"/>
      <c r="K9" s="12" t="str">
        <f>"90,0"</f>
        <v>90,0</v>
      </c>
      <c r="L9" s="13" t="str">
        <f>"57,8970"</f>
        <v>57,8970</v>
      </c>
      <c r="M9" s="12" t="s">
        <v>118</v>
      </c>
    </row>
    <row r="11" spans="1:12" ht="15">
      <c r="A11" s="53" t="s">
        <v>119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3" ht="12.75">
      <c r="A12" s="12" t="s">
        <v>121</v>
      </c>
      <c r="B12" s="12" t="s">
        <v>122</v>
      </c>
      <c r="C12" s="12" t="s">
        <v>123</v>
      </c>
      <c r="D12" s="12" t="str">
        <f>"0,5610"</f>
        <v>0,5610</v>
      </c>
      <c r="E12" s="12" t="s">
        <v>124</v>
      </c>
      <c r="F12" s="12" t="s">
        <v>20</v>
      </c>
      <c r="G12" s="13" t="s">
        <v>125</v>
      </c>
      <c r="H12" s="13" t="s">
        <v>126</v>
      </c>
      <c r="I12" s="14" t="s">
        <v>127</v>
      </c>
      <c r="J12" s="14"/>
      <c r="K12" s="12" t="str">
        <f>"155,0"</f>
        <v>155,0</v>
      </c>
      <c r="L12" s="13" t="str">
        <f>"86,9550"</f>
        <v>86,9550</v>
      </c>
      <c r="M12" s="12" t="s">
        <v>128</v>
      </c>
    </row>
    <row r="14" spans="5:6" ht="15">
      <c r="E14" s="15" t="s">
        <v>77</v>
      </c>
      <c r="F14" s="4" t="s">
        <v>664</v>
      </c>
    </row>
    <row r="15" spans="5:6" ht="15">
      <c r="E15" s="15" t="s">
        <v>78</v>
      </c>
      <c r="F15" s="4" t="s">
        <v>665</v>
      </c>
    </row>
    <row r="16" spans="5:6" ht="15">
      <c r="E16" s="15" t="s">
        <v>79</v>
      </c>
      <c r="F16" s="4" t="s">
        <v>666</v>
      </c>
    </row>
    <row r="17" spans="5:6" ht="15">
      <c r="E17" s="15" t="s">
        <v>80</v>
      </c>
      <c r="F17" s="37" t="s">
        <v>678</v>
      </c>
    </row>
    <row r="18" spans="5:6" ht="15">
      <c r="E18" s="15" t="s">
        <v>80</v>
      </c>
      <c r="F18" s="4" t="s">
        <v>669</v>
      </c>
    </row>
    <row r="19" spans="5:6" ht="15">
      <c r="E19" s="15" t="s">
        <v>81</v>
      </c>
      <c r="F19" s="4" t="s">
        <v>668</v>
      </c>
    </row>
    <row r="20" ht="15">
      <c r="E20" s="15"/>
    </row>
    <row r="22" spans="1:2" ht="18">
      <c r="A22" s="16" t="s">
        <v>82</v>
      </c>
      <c r="B22" s="16"/>
    </row>
    <row r="23" spans="1:2" ht="15">
      <c r="A23" s="17" t="s">
        <v>83</v>
      </c>
      <c r="B23" s="17"/>
    </row>
    <row r="24" spans="1:2" ht="14.25">
      <c r="A24" s="19"/>
      <c r="B24" s="20" t="s">
        <v>93</v>
      </c>
    </row>
    <row r="25" spans="1:5" ht="15">
      <c r="A25" s="21" t="s">
        <v>85</v>
      </c>
      <c r="B25" s="21" t="s">
        <v>86</v>
      </c>
      <c r="C25" s="21" t="s">
        <v>87</v>
      </c>
      <c r="D25" s="21" t="s">
        <v>88</v>
      </c>
      <c r="E25" s="21" t="s">
        <v>89</v>
      </c>
    </row>
    <row r="26" spans="1:5" ht="12.75">
      <c r="A26" s="18" t="s">
        <v>109</v>
      </c>
      <c r="B26" s="4" t="s">
        <v>93</v>
      </c>
      <c r="C26" s="4" t="s">
        <v>129</v>
      </c>
      <c r="D26" s="4" t="s">
        <v>62</v>
      </c>
      <c r="E26" s="22" t="s">
        <v>130</v>
      </c>
    </row>
    <row r="29" spans="1:2" ht="15">
      <c r="A29" s="17" t="s">
        <v>96</v>
      </c>
      <c r="B29" s="17"/>
    </row>
    <row r="30" spans="1:2" ht="14.25">
      <c r="A30" s="19"/>
      <c r="B30" s="20" t="s">
        <v>93</v>
      </c>
    </row>
    <row r="31" spans="1:5" ht="15">
      <c r="A31" s="21" t="s">
        <v>85</v>
      </c>
      <c r="B31" s="21" t="s">
        <v>86</v>
      </c>
      <c r="C31" s="21" t="s">
        <v>87</v>
      </c>
      <c r="D31" s="21" t="s">
        <v>88</v>
      </c>
      <c r="E31" s="21" t="s">
        <v>89</v>
      </c>
    </row>
    <row r="32" spans="1:5" ht="12.75">
      <c r="A32" s="18" t="s">
        <v>120</v>
      </c>
      <c r="B32" s="4" t="s">
        <v>93</v>
      </c>
      <c r="C32" s="4" t="s">
        <v>27</v>
      </c>
      <c r="D32" s="4" t="s">
        <v>126</v>
      </c>
      <c r="E32" s="22" t="s">
        <v>131</v>
      </c>
    </row>
    <row r="33" spans="1:5" ht="12.75">
      <c r="A33" s="18" t="s">
        <v>114</v>
      </c>
      <c r="B33" s="4" t="s">
        <v>93</v>
      </c>
      <c r="C33" s="4" t="s">
        <v>63</v>
      </c>
      <c r="D33" s="4" t="s">
        <v>36</v>
      </c>
      <c r="E33" s="22" t="s">
        <v>132</v>
      </c>
    </row>
  </sheetData>
  <sheetProtection/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4.75390625" style="4" bestFit="1" customWidth="1"/>
    <col min="7" max="7" width="5.625" style="3" bestFit="1" customWidth="1"/>
    <col min="8" max="9" width="4.625" style="3" bestFit="1" customWidth="1"/>
    <col min="10" max="10" width="4.875" style="3" bestFit="1" customWidth="1"/>
    <col min="11" max="12" width="5.625" style="3" bestFit="1" customWidth="1"/>
    <col min="13" max="13" width="4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20.25390625" style="4" bestFit="1" customWidth="1"/>
    <col min="22" max="16384" width="9.125" style="3" customWidth="1"/>
  </cols>
  <sheetData>
    <row r="1" spans="1:21" s="2" customFormat="1" ht="28.5" customHeight="1">
      <c r="A1" s="44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s="1" customFormat="1" ht="12.75" customHeight="1">
      <c r="A3" s="50" t="s">
        <v>0</v>
      </c>
      <c r="B3" s="52" t="s">
        <v>6</v>
      </c>
      <c r="C3" s="52" t="s">
        <v>7</v>
      </c>
      <c r="D3" s="38" t="s">
        <v>10</v>
      </c>
      <c r="E3" s="38" t="s">
        <v>4</v>
      </c>
      <c r="F3" s="38" t="s">
        <v>8</v>
      </c>
      <c r="G3" s="38" t="s">
        <v>11</v>
      </c>
      <c r="H3" s="38"/>
      <c r="I3" s="38"/>
      <c r="J3" s="38"/>
      <c r="K3" s="38" t="s">
        <v>12</v>
      </c>
      <c r="L3" s="38"/>
      <c r="M3" s="38"/>
      <c r="N3" s="38"/>
      <c r="O3" s="38" t="s">
        <v>13</v>
      </c>
      <c r="P3" s="38"/>
      <c r="Q3" s="38"/>
      <c r="R3" s="38"/>
      <c r="S3" s="38" t="s">
        <v>1</v>
      </c>
      <c r="T3" s="38" t="s">
        <v>3</v>
      </c>
      <c r="U3" s="40" t="s">
        <v>2</v>
      </c>
    </row>
    <row r="4" spans="1:21" s="1" customFormat="1" ht="21" customHeight="1" thickBot="1">
      <c r="A4" s="51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9"/>
      <c r="T4" s="39"/>
      <c r="U4" s="41"/>
    </row>
    <row r="5" spans="1:20" ht="15">
      <c r="A5" s="42" t="s">
        <v>14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1" ht="12.75">
      <c r="A6" s="6" t="s">
        <v>16</v>
      </c>
      <c r="B6" s="6" t="s">
        <v>17</v>
      </c>
      <c r="C6" s="6" t="s">
        <v>18</v>
      </c>
      <c r="D6" s="6" t="str">
        <f>"0,8738"</f>
        <v>0,8738</v>
      </c>
      <c r="E6" s="6" t="s">
        <v>19</v>
      </c>
      <c r="F6" s="6" t="s">
        <v>20</v>
      </c>
      <c r="G6" s="7" t="s">
        <v>21</v>
      </c>
      <c r="H6" s="8" t="s">
        <v>22</v>
      </c>
      <c r="I6" s="8" t="s">
        <v>23</v>
      </c>
      <c r="J6" s="7"/>
      <c r="K6" s="8" t="s">
        <v>24</v>
      </c>
      <c r="L6" s="8" t="s">
        <v>25</v>
      </c>
      <c r="M6" s="8" t="s">
        <v>26</v>
      </c>
      <c r="N6" s="7"/>
      <c r="O6" s="8" t="s">
        <v>27</v>
      </c>
      <c r="P6" s="7" t="s">
        <v>28</v>
      </c>
      <c r="Q6" s="7" t="s">
        <v>28</v>
      </c>
      <c r="R6" s="7"/>
      <c r="S6" s="6" t="str">
        <f>"225,0"</f>
        <v>225,0</v>
      </c>
      <c r="T6" s="8" t="str">
        <f>"208,4013"</f>
        <v>208,4013</v>
      </c>
      <c r="U6" s="6" t="s">
        <v>29</v>
      </c>
    </row>
    <row r="7" spans="1:21" ht="12.75">
      <c r="A7" s="9" t="s">
        <v>31</v>
      </c>
      <c r="B7" s="9" t="s">
        <v>32</v>
      </c>
      <c r="C7" s="9" t="s">
        <v>33</v>
      </c>
      <c r="D7" s="9" t="str">
        <f>"0,8935"</f>
        <v>0,8935</v>
      </c>
      <c r="E7" s="9" t="s">
        <v>34</v>
      </c>
      <c r="F7" s="9" t="s">
        <v>35</v>
      </c>
      <c r="G7" s="10" t="s">
        <v>23</v>
      </c>
      <c r="H7" s="10" t="s">
        <v>36</v>
      </c>
      <c r="I7" s="11" t="s">
        <v>37</v>
      </c>
      <c r="J7" s="11"/>
      <c r="K7" s="10" t="s">
        <v>38</v>
      </c>
      <c r="L7" s="11" t="s">
        <v>39</v>
      </c>
      <c r="M7" s="11" t="s">
        <v>39</v>
      </c>
      <c r="N7" s="11"/>
      <c r="O7" s="10" t="s">
        <v>23</v>
      </c>
      <c r="P7" s="10" t="s">
        <v>36</v>
      </c>
      <c r="Q7" s="10" t="s">
        <v>40</v>
      </c>
      <c r="R7" s="11"/>
      <c r="S7" s="9" t="str">
        <f>"230,0"</f>
        <v>230,0</v>
      </c>
      <c r="T7" s="10" t="str">
        <f>"205,4935"</f>
        <v>205,4935</v>
      </c>
      <c r="U7" s="9" t="s">
        <v>41</v>
      </c>
    </row>
    <row r="9" spans="1:20" ht="15">
      <c r="A9" s="53" t="s">
        <v>42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1" ht="12.75">
      <c r="A10" s="6" t="s">
        <v>44</v>
      </c>
      <c r="B10" s="6" t="s">
        <v>45</v>
      </c>
      <c r="C10" s="6" t="s">
        <v>46</v>
      </c>
      <c r="D10" s="6" t="str">
        <f>"0,9484"</f>
        <v>0,9484</v>
      </c>
      <c r="E10" s="6" t="s">
        <v>19</v>
      </c>
      <c r="F10" s="6" t="s">
        <v>47</v>
      </c>
      <c r="G10" s="8" t="s">
        <v>23</v>
      </c>
      <c r="H10" s="8" t="s">
        <v>48</v>
      </c>
      <c r="I10" s="8" t="s">
        <v>36</v>
      </c>
      <c r="J10" s="7"/>
      <c r="K10" s="8" t="s">
        <v>49</v>
      </c>
      <c r="L10" s="8" t="s">
        <v>50</v>
      </c>
      <c r="M10" s="8" t="s">
        <v>51</v>
      </c>
      <c r="N10" s="7"/>
      <c r="O10" s="8" t="s">
        <v>40</v>
      </c>
      <c r="P10" s="8" t="s">
        <v>27</v>
      </c>
      <c r="Q10" s="8" t="s">
        <v>52</v>
      </c>
      <c r="R10" s="7"/>
      <c r="S10" s="6" t="str">
        <f>"250,0"</f>
        <v>250,0</v>
      </c>
      <c r="T10" s="8" t="str">
        <f>"279,7633"</f>
        <v>279,7633</v>
      </c>
      <c r="U10" s="6" t="s">
        <v>53</v>
      </c>
    </row>
    <row r="11" spans="1:21" ht="12.75">
      <c r="A11" s="9" t="s">
        <v>55</v>
      </c>
      <c r="B11" s="9" t="s">
        <v>56</v>
      </c>
      <c r="C11" s="9" t="s">
        <v>57</v>
      </c>
      <c r="D11" s="9" t="str">
        <f>"0,9494"</f>
        <v>0,9494</v>
      </c>
      <c r="E11" s="9" t="s">
        <v>58</v>
      </c>
      <c r="F11" s="9" t="s">
        <v>47</v>
      </c>
      <c r="G11" s="10" t="s">
        <v>59</v>
      </c>
      <c r="H11" s="11" t="s">
        <v>60</v>
      </c>
      <c r="I11" s="10" t="s">
        <v>61</v>
      </c>
      <c r="J11" s="11"/>
      <c r="K11" s="10" t="s">
        <v>38</v>
      </c>
      <c r="L11" s="11" t="s">
        <v>62</v>
      </c>
      <c r="M11" s="10" t="s">
        <v>62</v>
      </c>
      <c r="N11" s="11"/>
      <c r="O11" s="10" t="s">
        <v>22</v>
      </c>
      <c r="P11" s="10" t="s">
        <v>63</v>
      </c>
      <c r="Q11" s="10" t="s">
        <v>36</v>
      </c>
      <c r="R11" s="11"/>
      <c r="S11" s="9" t="str">
        <f>"207,5"</f>
        <v>207,5</v>
      </c>
      <c r="T11" s="10" t="str">
        <f>"242,3106"</f>
        <v>242,3106</v>
      </c>
      <c r="U11" s="9" t="s">
        <v>64</v>
      </c>
    </row>
    <row r="13" spans="1:20" ht="15">
      <c r="A13" s="53" t="s">
        <v>65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1" ht="12.75">
      <c r="A14" s="12" t="s">
        <v>67</v>
      </c>
      <c r="B14" s="12" t="s">
        <v>68</v>
      </c>
      <c r="C14" s="12" t="s">
        <v>69</v>
      </c>
      <c r="D14" s="12" t="str">
        <f>"0,5377"</f>
        <v>0,5377</v>
      </c>
      <c r="E14" s="12" t="s">
        <v>19</v>
      </c>
      <c r="F14" s="12" t="s">
        <v>47</v>
      </c>
      <c r="G14" s="13" t="s">
        <v>70</v>
      </c>
      <c r="H14" s="14"/>
      <c r="I14" s="14"/>
      <c r="J14" s="14"/>
      <c r="K14" s="13" t="s">
        <v>71</v>
      </c>
      <c r="L14" s="14" t="s">
        <v>72</v>
      </c>
      <c r="M14" s="14"/>
      <c r="N14" s="14"/>
      <c r="O14" s="13" t="s">
        <v>73</v>
      </c>
      <c r="P14" s="13" t="s">
        <v>74</v>
      </c>
      <c r="Q14" s="14" t="s">
        <v>75</v>
      </c>
      <c r="R14" s="14"/>
      <c r="S14" s="12" t="str">
        <f>"670,0"</f>
        <v>670,0</v>
      </c>
      <c r="T14" s="13" t="str">
        <f>"360,2590"</f>
        <v>360,2590</v>
      </c>
      <c r="U14" s="12" t="s">
        <v>76</v>
      </c>
    </row>
    <row r="16" spans="5:6" ht="15">
      <c r="E16" s="15" t="s">
        <v>77</v>
      </c>
      <c r="F16" s="4" t="s">
        <v>664</v>
      </c>
    </row>
    <row r="17" spans="5:6" ht="15">
      <c r="E17" s="15" t="s">
        <v>78</v>
      </c>
      <c r="F17" s="4" t="s">
        <v>665</v>
      </c>
    </row>
    <row r="18" spans="5:6" ht="15">
      <c r="E18" s="15" t="s">
        <v>79</v>
      </c>
      <c r="F18" s="4" t="s">
        <v>666</v>
      </c>
    </row>
    <row r="19" spans="5:6" ht="15">
      <c r="E19" s="15" t="s">
        <v>80</v>
      </c>
      <c r="F19" s="37" t="s">
        <v>678</v>
      </c>
    </row>
    <row r="20" spans="5:6" ht="15">
      <c r="E20" s="15" t="s">
        <v>80</v>
      </c>
      <c r="F20" s="4" t="s">
        <v>669</v>
      </c>
    </row>
    <row r="21" spans="5:6" ht="15">
      <c r="E21" s="15" t="s">
        <v>81</v>
      </c>
      <c r="F21" s="4" t="s">
        <v>668</v>
      </c>
    </row>
    <row r="22" ht="15">
      <c r="E22" s="15"/>
    </row>
    <row r="24" spans="1:2" ht="18">
      <c r="A24" s="16" t="s">
        <v>82</v>
      </c>
      <c r="B24" s="16"/>
    </row>
    <row r="25" spans="1:2" ht="15">
      <c r="A25" s="17" t="s">
        <v>83</v>
      </c>
      <c r="B25" s="17"/>
    </row>
    <row r="26" spans="1:2" ht="14.25">
      <c r="A26" s="19"/>
      <c r="B26" s="20" t="s">
        <v>84</v>
      </c>
    </row>
    <row r="27" spans="1:5" ht="15">
      <c r="A27" s="21" t="s">
        <v>85</v>
      </c>
      <c r="B27" s="21" t="s">
        <v>86</v>
      </c>
      <c r="C27" s="21" t="s">
        <v>87</v>
      </c>
      <c r="D27" s="21" t="s">
        <v>88</v>
      </c>
      <c r="E27" s="21" t="s">
        <v>89</v>
      </c>
    </row>
    <row r="28" spans="1:5" ht="12.75">
      <c r="A28" s="18" t="s">
        <v>15</v>
      </c>
      <c r="B28" s="4" t="s">
        <v>90</v>
      </c>
      <c r="C28" s="4" t="s">
        <v>59</v>
      </c>
      <c r="D28" s="4" t="s">
        <v>91</v>
      </c>
      <c r="E28" s="22" t="s">
        <v>92</v>
      </c>
    </row>
    <row r="30" spans="1:2" ht="14.25">
      <c r="A30" s="19"/>
      <c r="B30" s="20" t="s">
        <v>93</v>
      </c>
    </row>
    <row r="31" spans="1:5" ht="15">
      <c r="A31" s="21" t="s">
        <v>85</v>
      </c>
      <c r="B31" s="21" t="s">
        <v>86</v>
      </c>
      <c r="C31" s="21" t="s">
        <v>87</v>
      </c>
      <c r="D31" s="21" t="s">
        <v>88</v>
      </c>
      <c r="E31" s="21" t="s">
        <v>89</v>
      </c>
    </row>
    <row r="32" spans="1:5" ht="12.75">
      <c r="A32" s="18" t="s">
        <v>30</v>
      </c>
      <c r="B32" s="4" t="s">
        <v>93</v>
      </c>
      <c r="C32" s="4" t="s">
        <v>59</v>
      </c>
      <c r="D32" s="4" t="s">
        <v>94</v>
      </c>
      <c r="E32" s="22" t="s">
        <v>95</v>
      </c>
    </row>
    <row r="35" spans="1:2" ht="15">
      <c r="A35" s="17" t="s">
        <v>96</v>
      </c>
      <c r="B35" s="17"/>
    </row>
    <row r="36" spans="1:2" ht="14.25">
      <c r="A36" s="19"/>
      <c r="B36" s="20" t="s">
        <v>97</v>
      </c>
    </row>
    <row r="37" spans="1:5" ht="15">
      <c r="A37" s="21" t="s">
        <v>85</v>
      </c>
      <c r="B37" s="21" t="s">
        <v>86</v>
      </c>
      <c r="C37" s="21" t="s">
        <v>87</v>
      </c>
      <c r="D37" s="21" t="s">
        <v>88</v>
      </c>
      <c r="E37" s="21" t="s">
        <v>89</v>
      </c>
    </row>
    <row r="38" spans="1:5" ht="12.75">
      <c r="A38" s="18" t="s">
        <v>43</v>
      </c>
      <c r="B38" s="4" t="s">
        <v>98</v>
      </c>
      <c r="C38" s="4" t="s">
        <v>99</v>
      </c>
      <c r="D38" s="4" t="s">
        <v>100</v>
      </c>
      <c r="E38" s="22" t="s">
        <v>101</v>
      </c>
    </row>
    <row r="39" spans="1:5" ht="12.75">
      <c r="A39" s="18" t="s">
        <v>54</v>
      </c>
      <c r="B39" s="4" t="s">
        <v>98</v>
      </c>
      <c r="C39" s="4" t="s">
        <v>99</v>
      </c>
      <c r="D39" s="4" t="s">
        <v>102</v>
      </c>
      <c r="E39" s="22" t="s">
        <v>103</v>
      </c>
    </row>
    <row r="41" spans="1:2" ht="14.25">
      <c r="A41" s="19"/>
      <c r="B41" s="20" t="s">
        <v>93</v>
      </c>
    </row>
    <row r="42" spans="1:5" ht="15">
      <c r="A42" s="21" t="s">
        <v>85</v>
      </c>
      <c r="B42" s="21" t="s">
        <v>86</v>
      </c>
      <c r="C42" s="21" t="s">
        <v>87</v>
      </c>
      <c r="D42" s="21" t="s">
        <v>88</v>
      </c>
      <c r="E42" s="21" t="s">
        <v>89</v>
      </c>
    </row>
    <row r="43" spans="1:5" ht="12.75">
      <c r="A43" s="18" t="s">
        <v>66</v>
      </c>
      <c r="B43" s="4" t="s">
        <v>93</v>
      </c>
      <c r="C43" s="4" t="s">
        <v>104</v>
      </c>
      <c r="D43" s="4" t="s">
        <v>105</v>
      </c>
      <c r="E43" s="22" t="s">
        <v>106</v>
      </c>
    </row>
  </sheetData>
  <sheetProtection/>
  <mergeCells count="16">
    <mergeCell ref="A5:T5"/>
    <mergeCell ref="A9:T9"/>
    <mergeCell ref="A13:T13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F12" sqref="F12:F17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29.00390625" style="4" bestFit="1" customWidth="1"/>
    <col min="7" max="7" width="4.625" style="3" bestFit="1" customWidth="1"/>
    <col min="8" max="8" width="5.625" style="28" bestFit="1" customWidth="1"/>
    <col min="9" max="9" width="7.875" style="4" bestFit="1" customWidth="1"/>
    <col min="10" max="10" width="8.625" style="3" bestFit="1" customWidth="1"/>
    <col min="11" max="11" width="20.75390625" style="4" bestFit="1" customWidth="1"/>
    <col min="12" max="16384" width="9.125" style="3" customWidth="1"/>
  </cols>
  <sheetData>
    <row r="1" spans="1:11" s="2" customFormat="1" ht="28.5" customHeight="1">
      <c r="A1" s="44" t="s">
        <v>627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>
      <c r="A3" s="50" t="s">
        <v>0</v>
      </c>
      <c r="B3" s="52" t="s">
        <v>6</v>
      </c>
      <c r="C3" s="52" t="s">
        <v>7</v>
      </c>
      <c r="D3" s="38" t="s">
        <v>620</v>
      </c>
      <c r="E3" s="38" t="s">
        <v>4</v>
      </c>
      <c r="F3" s="38" t="s">
        <v>8</v>
      </c>
      <c r="G3" s="38" t="s">
        <v>600</v>
      </c>
      <c r="H3" s="38"/>
      <c r="I3" s="38" t="s">
        <v>603</v>
      </c>
      <c r="J3" s="38" t="s">
        <v>3</v>
      </c>
      <c r="K3" s="40" t="s">
        <v>2</v>
      </c>
    </row>
    <row r="4" spans="1:11" s="1" customFormat="1" ht="21" customHeight="1" thickBot="1">
      <c r="A4" s="51"/>
      <c r="B4" s="39"/>
      <c r="C4" s="39"/>
      <c r="D4" s="39"/>
      <c r="E4" s="39"/>
      <c r="F4" s="39"/>
      <c r="G4" s="5" t="s">
        <v>601</v>
      </c>
      <c r="H4" s="26" t="s">
        <v>602</v>
      </c>
      <c r="I4" s="39"/>
      <c r="J4" s="39"/>
      <c r="K4" s="41"/>
    </row>
    <row r="5" spans="1:10" ht="15">
      <c r="A5" s="42" t="s">
        <v>621</v>
      </c>
      <c r="B5" s="43"/>
      <c r="C5" s="43"/>
      <c r="D5" s="43"/>
      <c r="E5" s="43"/>
      <c r="F5" s="43"/>
      <c r="G5" s="43"/>
      <c r="H5" s="43"/>
      <c r="I5" s="43"/>
      <c r="J5" s="43"/>
    </row>
    <row r="6" spans="1:11" ht="12.75">
      <c r="A6" s="6" t="s">
        <v>629</v>
      </c>
      <c r="B6" s="6" t="s">
        <v>630</v>
      </c>
      <c r="C6" s="6" t="s">
        <v>631</v>
      </c>
      <c r="D6" s="6" t="str">
        <f>"1,0000"</f>
        <v>1,0000</v>
      </c>
      <c r="E6" s="6" t="s">
        <v>186</v>
      </c>
      <c r="F6" s="6" t="s">
        <v>47</v>
      </c>
      <c r="G6" s="8" t="s">
        <v>50</v>
      </c>
      <c r="H6" s="29" t="s">
        <v>331</v>
      </c>
      <c r="I6" s="6" t="str">
        <f>"2860,0"</f>
        <v>2860,0</v>
      </c>
      <c r="J6" s="8" t="str">
        <f>"36,9509"</f>
        <v>36,9509</v>
      </c>
      <c r="K6" s="6" t="s">
        <v>187</v>
      </c>
    </row>
    <row r="7" spans="1:11" ht="12.75">
      <c r="A7" s="23" t="s">
        <v>632</v>
      </c>
      <c r="B7" s="23" t="s">
        <v>469</v>
      </c>
      <c r="C7" s="23" t="s">
        <v>470</v>
      </c>
      <c r="D7" s="23" t="str">
        <f>"1,0000"</f>
        <v>1,0000</v>
      </c>
      <c r="E7" s="23" t="s">
        <v>58</v>
      </c>
      <c r="F7" s="23" t="s">
        <v>47</v>
      </c>
      <c r="G7" s="25" t="s">
        <v>50</v>
      </c>
      <c r="H7" s="30" t="s">
        <v>633</v>
      </c>
      <c r="I7" s="23" t="str">
        <f>"2090,0"</f>
        <v>2090,0</v>
      </c>
      <c r="J7" s="25" t="str">
        <f>"25,8184"</f>
        <v>25,8184</v>
      </c>
      <c r="K7" s="23" t="s">
        <v>118</v>
      </c>
    </row>
    <row r="8" spans="1:11" ht="12.75">
      <c r="A8" s="23" t="s">
        <v>635</v>
      </c>
      <c r="B8" s="23" t="s">
        <v>636</v>
      </c>
      <c r="C8" s="23" t="s">
        <v>637</v>
      </c>
      <c r="D8" s="23" t="str">
        <f>"1,0000"</f>
        <v>1,0000</v>
      </c>
      <c r="E8" s="23" t="s">
        <v>19</v>
      </c>
      <c r="F8" s="23" t="s">
        <v>47</v>
      </c>
      <c r="G8" s="25" t="s">
        <v>50</v>
      </c>
      <c r="H8" s="30" t="s">
        <v>578</v>
      </c>
      <c r="I8" s="23" t="str">
        <f>"1045,0"</f>
        <v>1045,0</v>
      </c>
      <c r="J8" s="25" t="str">
        <f>"13,1612"</f>
        <v>13,1612</v>
      </c>
      <c r="K8" s="23" t="s">
        <v>76</v>
      </c>
    </row>
    <row r="9" spans="1:11" ht="12.75">
      <c r="A9" s="23" t="s">
        <v>639</v>
      </c>
      <c r="B9" s="23" t="s">
        <v>640</v>
      </c>
      <c r="C9" s="23" t="s">
        <v>641</v>
      </c>
      <c r="D9" s="23" t="str">
        <f>"1,0000"</f>
        <v>1,0000</v>
      </c>
      <c r="E9" s="23" t="s">
        <v>19</v>
      </c>
      <c r="F9" s="23" t="s">
        <v>642</v>
      </c>
      <c r="G9" s="25" t="s">
        <v>50</v>
      </c>
      <c r="H9" s="30" t="s">
        <v>643</v>
      </c>
      <c r="I9" s="23" t="str">
        <f>"14135,0"</f>
        <v>14135,0</v>
      </c>
      <c r="J9" s="25" t="str">
        <f>"150,2125"</f>
        <v>150,2125</v>
      </c>
      <c r="K9" s="23" t="s">
        <v>644</v>
      </c>
    </row>
    <row r="10" spans="1:11" ht="12.75">
      <c r="A10" s="9" t="s">
        <v>646</v>
      </c>
      <c r="B10" s="9" t="s">
        <v>647</v>
      </c>
      <c r="C10" s="9" t="s">
        <v>648</v>
      </c>
      <c r="D10" s="9" t="str">
        <f>"1,0000"</f>
        <v>1,0000</v>
      </c>
      <c r="E10" s="9" t="s">
        <v>19</v>
      </c>
      <c r="F10" s="9" t="s">
        <v>20</v>
      </c>
      <c r="G10" s="10" t="s">
        <v>50</v>
      </c>
      <c r="H10" s="31" t="s">
        <v>649</v>
      </c>
      <c r="I10" s="9" t="str">
        <f>"715,0"</f>
        <v>715,0</v>
      </c>
      <c r="J10" s="10" t="str">
        <f>"9,7677"</f>
        <v>9,7677</v>
      </c>
      <c r="K10" s="9" t="s">
        <v>76</v>
      </c>
    </row>
    <row r="12" spans="5:6" ht="15">
      <c r="E12" s="15" t="s">
        <v>77</v>
      </c>
      <c r="F12" s="4" t="s">
        <v>664</v>
      </c>
    </row>
    <row r="13" spans="5:6" ht="15">
      <c r="E13" s="15" t="s">
        <v>78</v>
      </c>
      <c r="F13" s="4" t="s">
        <v>665</v>
      </c>
    </row>
    <row r="14" spans="5:6" ht="15">
      <c r="E14" s="15" t="s">
        <v>79</v>
      </c>
      <c r="F14" s="4" t="s">
        <v>666</v>
      </c>
    </row>
    <row r="15" spans="5:6" ht="15">
      <c r="E15" s="15" t="s">
        <v>80</v>
      </c>
      <c r="F15" s="4" t="s">
        <v>667</v>
      </c>
    </row>
    <row r="16" spans="5:6" ht="15">
      <c r="E16" s="15" t="s">
        <v>80</v>
      </c>
      <c r="F16" s="4" t="s">
        <v>669</v>
      </c>
    </row>
    <row r="17" spans="5:6" ht="15">
      <c r="E17" s="15" t="s">
        <v>81</v>
      </c>
      <c r="F17" s="4" t="s">
        <v>668</v>
      </c>
    </row>
    <row r="18" ht="15">
      <c r="E18" s="15"/>
    </row>
    <row r="20" spans="1:2" ht="18">
      <c r="A20" s="16" t="s">
        <v>82</v>
      </c>
      <c r="B20" s="16"/>
    </row>
    <row r="21" spans="1:2" ht="15">
      <c r="A21" s="17" t="s">
        <v>96</v>
      </c>
      <c r="B21" s="17"/>
    </row>
    <row r="22" spans="1:2" ht="14.25">
      <c r="A22" s="19"/>
      <c r="B22" s="20" t="s">
        <v>160</v>
      </c>
    </row>
    <row r="23" spans="1:5" ht="15">
      <c r="A23" s="21" t="s">
        <v>85</v>
      </c>
      <c r="B23" s="21" t="s">
        <v>86</v>
      </c>
      <c r="C23" s="21" t="s">
        <v>87</v>
      </c>
      <c r="D23" s="21" t="s">
        <v>88</v>
      </c>
      <c r="E23" s="21" t="s">
        <v>623</v>
      </c>
    </row>
    <row r="24" spans="1:5" ht="12.75">
      <c r="A24" s="18" t="s">
        <v>628</v>
      </c>
      <c r="B24" s="4" t="s">
        <v>161</v>
      </c>
      <c r="C24" s="4" t="s">
        <v>624</v>
      </c>
      <c r="D24" s="4" t="s">
        <v>650</v>
      </c>
      <c r="E24" s="22" t="s">
        <v>651</v>
      </c>
    </row>
    <row r="26" spans="1:2" ht="14.25">
      <c r="A26" s="19"/>
      <c r="B26" s="20" t="s">
        <v>93</v>
      </c>
    </row>
    <row r="27" spans="1:5" ht="15">
      <c r="A27" s="21" t="s">
        <v>85</v>
      </c>
      <c r="B27" s="21" t="s">
        <v>86</v>
      </c>
      <c r="C27" s="21" t="s">
        <v>87</v>
      </c>
      <c r="D27" s="21" t="s">
        <v>88</v>
      </c>
      <c r="E27" s="21" t="s">
        <v>623</v>
      </c>
    </row>
    <row r="28" spans="1:5" ht="12.75">
      <c r="A28" s="18" t="s">
        <v>467</v>
      </c>
      <c r="B28" s="4" t="s">
        <v>93</v>
      </c>
      <c r="C28" s="4" t="s">
        <v>624</v>
      </c>
      <c r="D28" s="4" t="s">
        <v>652</v>
      </c>
      <c r="E28" s="22" t="s">
        <v>653</v>
      </c>
    </row>
    <row r="29" spans="1:5" ht="12.75">
      <c r="A29" s="18" t="s">
        <v>634</v>
      </c>
      <c r="B29" s="4" t="s">
        <v>93</v>
      </c>
      <c r="C29" s="4" t="s">
        <v>624</v>
      </c>
      <c r="D29" s="4" t="s">
        <v>654</v>
      </c>
      <c r="E29" s="22" t="s">
        <v>655</v>
      </c>
    </row>
    <row r="31" spans="1:2" ht="14.25">
      <c r="A31" s="19"/>
      <c r="B31" s="20" t="s">
        <v>164</v>
      </c>
    </row>
    <row r="32" spans="1:5" ht="15">
      <c r="A32" s="21" t="s">
        <v>85</v>
      </c>
      <c r="B32" s="21" t="s">
        <v>86</v>
      </c>
      <c r="C32" s="21" t="s">
        <v>87</v>
      </c>
      <c r="D32" s="21" t="s">
        <v>88</v>
      </c>
      <c r="E32" s="21" t="s">
        <v>623</v>
      </c>
    </row>
    <row r="33" spans="1:5" ht="12.75">
      <c r="A33" s="18" t="s">
        <v>638</v>
      </c>
      <c r="B33" s="4" t="s">
        <v>339</v>
      </c>
      <c r="C33" s="4" t="s">
        <v>624</v>
      </c>
      <c r="D33" s="4" t="s">
        <v>656</v>
      </c>
      <c r="E33" s="22" t="s">
        <v>657</v>
      </c>
    </row>
    <row r="34" spans="1:5" ht="12.75">
      <c r="A34" s="18" t="s">
        <v>645</v>
      </c>
      <c r="B34" s="4" t="s">
        <v>339</v>
      </c>
      <c r="C34" s="4" t="s">
        <v>624</v>
      </c>
      <c r="D34" s="4" t="s">
        <v>658</v>
      </c>
      <c r="E34" s="22" t="s">
        <v>659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1.875" style="4" bestFit="1" customWidth="1"/>
    <col min="7" max="7" width="5.00390625" style="3" bestFit="1" customWidth="1"/>
    <col min="8" max="8" width="10.375" style="28" bestFit="1" customWidth="1"/>
    <col min="9" max="9" width="11.7539062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4" t="s">
        <v>670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>
      <c r="A3" s="59" t="s">
        <v>0</v>
      </c>
      <c r="B3" s="61" t="s">
        <v>6</v>
      </c>
      <c r="C3" s="61" t="s">
        <v>7</v>
      </c>
      <c r="D3" s="63" t="s">
        <v>576</v>
      </c>
      <c r="E3" s="63" t="s">
        <v>4</v>
      </c>
      <c r="F3" s="63" t="s">
        <v>8</v>
      </c>
      <c r="G3" s="65" t="s">
        <v>600</v>
      </c>
      <c r="H3" s="66"/>
      <c r="I3" s="63" t="s">
        <v>12</v>
      </c>
      <c r="J3" s="63" t="s">
        <v>3</v>
      </c>
      <c r="K3" s="57" t="s">
        <v>2</v>
      </c>
    </row>
    <row r="4" spans="1:11" s="1" customFormat="1" ht="21" customHeight="1" thickBot="1">
      <c r="A4" s="60"/>
      <c r="B4" s="62"/>
      <c r="C4" s="62"/>
      <c r="D4" s="64"/>
      <c r="E4" s="64"/>
      <c r="F4" s="64"/>
      <c r="G4" s="67" t="s">
        <v>602</v>
      </c>
      <c r="H4" s="68"/>
      <c r="I4" s="64"/>
      <c r="J4" s="64"/>
      <c r="K4" s="58"/>
    </row>
    <row r="5" spans="1:10" ht="15">
      <c r="A5" s="42" t="s">
        <v>113</v>
      </c>
      <c r="B5" s="43"/>
      <c r="C5" s="43"/>
      <c r="D5" s="43"/>
      <c r="E5" s="43"/>
      <c r="F5" s="43"/>
      <c r="G5" s="43"/>
      <c r="H5" s="43"/>
      <c r="I5" s="43"/>
      <c r="J5" s="43"/>
    </row>
    <row r="6" spans="1:11" ht="12.75">
      <c r="A6" s="12" t="s">
        <v>606</v>
      </c>
      <c r="B6" s="12" t="s">
        <v>607</v>
      </c>
      <c r="C6" s="12" t="s">
        <v>608</v>
      </c>
      <c r="D6" s="12" t="str">
        <f>"0,7869"</f>
        <v>0,7869</v>
      </c>
      <c r="E6" s="12" t="s">
        <v>58</v>
      </c>
      <c r="F6" s="12" t="s">
        <v>47</v>
      </c>
      <c r="G6" s="55" t="s">
        <v>609</v>
      </c>
      <c r="H6" s="56"/>
      <c r="I6" s="12" t="s">
        <v>672</v>
      </c>
      <c r="J6" s="13" t="s">
        <v>674</v>
      </c>
      <c r="K6" s="12" t="s">
        <v>610</v>
      </c>
    </row>
    <row r="8" spans="1:10" ht="15">
      <c r="A8" s="53" t="s">
        <v>155</v>
      </c>
      <c r="B8" s="54"/>
      <c r="C8" s="54"/>
      <c r="D8" s="54"/>
      <c r="E8" s="54"/>
      <c r="F8" s="54"/>
      <c r="G8" s="54"/>
      <c r="H8" s="54"/>
      <c r="I8" s="54"/>
      <c r="J8" s="54"/>
    </row>
    <row r="9" spans="1:11" ht="12.75">
      <c r="A9" s="12" t="s">
        <v>612</v>
      </c>
      <c r="B9" s="12" t="s">
        <v>613</v>
      </c>
      <c r="C9" s="12" t="s">
        <v>614</v>
      </c>
      <c r="D9" s="12" t="str">
        <f>"0,7593"</f>
        <v>0,7593</v>
      </c>
      <c r="E9" s="12" t="s">
        <v>19</v>
      </c>
      <c r="F9" s="12" t="s">
        <v>47</v>
      </c>
      <c r="G9" s="55" t="s">
        <v>25</v>
      </c>
      <c r="H9" s="56"/>
      <c r="I9" s="12" t="s">
        <v>671</v>
      </c>
      <c r="J9" s="13" t="s">
        <v>673</v>
      </c>
      <c r="K9" s="12" t="s">
        <v>610</v>
      </c>
    </row>
    <row r="11" spans="5:6" ht="15">
      <c r="E11" s="15" t="s">
        <v>77</v>
      </c>
      <c r="F11" s="4" t="s">
        <v>664</v>
      </c>
    </row>
    <row r="12" spans="5:6" ht="15">
      <c r="E12" s="15" t="s">
        <v>78</v>
      </c>
      <c r="F12" s="4" t="s">
        <v>665</v>
      </c>
    </row>
    <row r="13" spans="5:6" ht="15">
      <c r="E13" s="15" t="s">
        <v>79</v>
      </c>
      <c r="F13" s="4" t="s">
        <v>666</v>
      </c>
    </row>
    <row r="14" spans="5:6" ht="15">
      <c r="E14" s="15" t="s">
        <v>80</v>
      </c>
      <c r="F14" s="37" t="s">
        <v>678</v>
      </c>
    </row>
    <row r="15" spans="5:6" ht="15">
      <c r="E15" s="15" t="s">
        <v>80</v>
      </c>
      <c r="F15" s="4" t="s">
        <v>669</v>
      </c>
    </row>
    <row r="16" spans="5:6" ht="15">
      <c r="E16" s="15" t="s">
        <v>81</v>
      </c>
      <c r="F16" s="4" t="s">
        <v>668</v>
      </c>
    </row>
    <row r="17" ht="15">
      <c r="E17" s="15"/>
    </row>
    <row r="19" spans="1:2" ht="18">
      <c r="A19" s="16"/>
      <c r="B19" s="16"/>
    </row>
    <row r="20" spans="1:2" ht="15">
      <c r="A20" s="17"/>
      <c r="B20" s="17"/>
    </row>
    <row r="21" spans="1:6" ht="14.25" customHeight="1">
      <c r="A21" s="33"/>
      <c r="B21" s="33"/>
      <c r="C21" s="33"/>
      <c r="D21" s="33"/>
      <c r="E21" s="33"/>
      <c r="F21" s="33"/>
    </row>
    <row r="22" spans="1:6" ht="15" customHeight="1">
      <c r="A22" s="33"/>
      <c r="B22" s="33"/>
      <c r="C22" s="33"/>
      <c r="D22" s="33"/>
      <c r="E22" s="33"/>
      <c r="F22" s="33"/>
    </row>
    <row r="23" spans="1:6" ht="12.75" customHeight="1">
      <c r="A23" s="33"/>
      <c r="B23" s="33"/>
      <c r="C23" s="33"/>
      <c r="D23" s="33"/>
      <c r="E23" s="33"/>
      <c r="F23" s="33"/>
    </row>
    <row r="24" spans="1:6" ht="12.75" customHeight="1">
      <c r="A24" s="33"/>
      <c r="B24" s="33"/>
      <c r="C24" s="33"/>
      <c r="D24" s="33"/>
      <c r="E24" s="33"/>
      <c r="F24" s="33"/>
    </row>
    <row r="25" spans="1:22" ht="12.75" customHeight="1">
      <c r="A25" s="33"/>
      <c r="B25" s="33"/>
      <c r="C25" s="33"/>
      <c r="D25" s="33"/>
      <c r="E25" s="33"/>
      <c r="F25" s="33"/>
      <c r="Q25" s="35"/>
      <c r="R25" s="35"/>
      <c r="S25" s="35"/>
      <c r="T25" s="35"/>
      <c r="U25" s="35"/>
      <c r="V25" s="35"/>
    </row>
    <row r="26" spans="1:22" ht="12.75" customHeight="1">
      <c r="A26" s="33"/>
      <c r="B26" s="33"/>
      <c r="C26" s="33"/>
      <c r="D26" s="33"/>
      <c r="E26" s="33"/>
      <c r="F26" s="33"/>
      <c r="Q26" s="35"/>
      <c r="R26" s="35"/>
      <c r="S26" s="35"/>
      <c r="T26" s="35"/>
      <c r="U26" s="35"/>
      <c r="V26" s="35"/>
    </row>
    <row r="27" spans="1:22" ht="12.75" customHeight="1">
      <c r="A27" s="33"/>
      <c r="B27" s="33"/>
      <c r="C27" s="33"/>
      <c r="D27" s="33"/>
      <c r="E27" s="33"/>
      <c r="F27" s="33"/>
      <c r="Q27" s="35"/>
      <c r="R27" s="35"/>
      <c r="S27" s="35"/>
      <c r="T27" s="35"/>
      <c r="U27" s="35"/>
      <c r="V27" s="35"/>
    </row>
    <row r="28" spans="17:22" ht="12.75">
      <c r="Q28" s="35"/>
      <c r="R28" s="35"/>
      <c r="S28" s="35"/>
      <c r="T28" s="35"/>
      <c r="U28" s="35"/>
      <c r="V28" s="35"/>
    </row>
    <row r="29" spans="17:22" ht="12.75">
      <c r="Q29" s="35"/>
      <c r="R29" s="35"/>
      <c r="S29" s="35"/>
      <c r="T29" s="35"/>
      <c r="U29" s="35"/>
      <c r="V29" s="35"/>
    </row>
    <row r="30" spans="17:22" ht="12.75">
      <c r="Q30" s="35"/>
      <c r="R30" s="35"/>
      <c r="S30" s="35"/>
      <c r="T30" s="35"/>
      <c r="U30" s="35"/>
      <c r="V30" s="35"/>
    </row>
  </sheetData>
  <sheetProtection/>
  <mergeCells count="16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G4:H4"/>
    <mergeCell ref="G6:H6"/>
    <mergeCell ref="G9:H9"/>
    <mergeCell ref="K3:K4"/>
    <mergeCell ref="A5:J5"/>
    <mergeCell ref="A8:J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1.875" style="4" bestFit="1" customWidth="1"/>
    <col min="7" max="7" width="5.00390625" style="3" bestFit="1" customWidth="1"/>
    <col min="8" max="8" width="10.375" style="28" bestFit="1" customWidth="1"/>
    <col min="9" max="9" width="11.7539062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4" t="s">
        <v>675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>
      <c r="A3" s="59" t="s">
        <v>0</v>
      </c>
      <c r="B3" s="61" t="s">
        <v>6</v>
      </c>
      <c r="C3" s="61" t="s">
        <v>7</v>
      </c>
      <c r="D3" s="63" t="s">
        <v>576</v>
      </c>
      <c r="E3" s="63" t="s">
        <v>4</v>
      </c>
      <c r="F3" s="63" t="s">
        <v>8</v>
      </c>
      <c r="G3" s="65" t="s">
        <v>600</v>
      </c>
      <c r="H3" s="66"/>
      <c r="I3" s="63" t="s">
        <v>12</v>
      </c>
      <c r="J3" s="63" t="s">
        <v>3</v>
      </c>
      <c r="K3" s="57" t="s">
        <v>2</v>
      </c>
    </row>
    <row r="4" spans="1:11" s="1" customFormat="1" ht="21" customHeight="1" thickBot="1">
      <c r="A4" s="60"/>
      <c r="B4" s="62"/>
      <c r="C4" s="62"/>
      <c r="D4" s="64"/>
      <c r="E4" s="64"/>
      <c r="F4" s="64"/>
      <c r="G4" s="67" t="s">
        <v>602</v>
      </c>
      <c r="H4" s="68"/>
      <c r="I4" s="64"/>
      <c r="J4" s="64"/>
      <c r="K4" s="58"/>
    </row>
    <row r="5" spans="1:10" ht="15">
      <c r="A5" s="42" t="s">
        <v>113</v>
      </c>
      <c r="B5" s="43"/>
      <c r="C5" s="43"/>
      <c r="D5" s="43"/>
      <c r="E5" s="43"/>
      <c r="F5" s="43"/>
      <c r="G5" s="43"/>
      <c r="H5" s="43"/>
      <c r="I5" s="43"/>
      <c r="J5" s="43"/>
    </row>
    <row r="6" spans="1:11" ht="12.75">
      <c r="A6" s="36" t="s">
        <v>677</v>
      </c>
      <c r="B6" s="12" t="s">
        <v>607</v>
      </c>
      <c r="C6" s="12" t="s">
        <v>608</v>
      </c>
      <c r="D6" s="12" t="str">
        <f>"0,7869"</f>
        <v>0,7869</v>
      </c>
      <c r="E6" s="12" t="s">
        <v>58</v>
      </c>
      <c r="F6" s="12" t="s">
        <v>47</v>
      </c>
      <c r="G6" s="55">
        <v>22</v>
      </c>
      <c r="H6" s="56"/>
      <c r="I6" s="12" t="s">
        <v>247</v>
      </c>
      <c r="J6" s="13" t="s">
        <v>676</v>
      </c>
      <c r="K6" s="12" t="s">
        <v>610</v>
      </c>
    </row>
    <row r="8" s="34" customFormat="1" ht="15" customHeight="1"/>
    <row r="9" s="34" customFormat="1" ht="12.75" customHeight="1"/>
    <row r="11" spans="5:6" ht="15">
      <c r="E11" s="15" t="s">
        <v>77</v>
      </c>
      <c r="F11" s="4" t="s">
        <v>664</v>
      </c>
    </row>
    <row r="12" spans="5:6" ht="15">
      <c r="E12" s="15" t="s">
        <v>78</v>
      </c>
      <c r="F12" s="4" t="s">
        <v>665</v>
      </c>
    </row>
    <row r="13" spans="5:6" ht="15">
      <c r="E13" s="15" t="s">
        <v>79</v>
      </c>
      <c r="F13" s="4" t="s">
        <v>666</v>
      </c>
    </row>
    <row r="14" spans="5:6" ht="15">
      <c r="E14" s="15" t="s">
        <v>80</v>
      </c>
      <c r="F14" s="37" t="s">
        <v>678</v>
      </c>
    </row>
    <row r="15" spans="5:6" ht="15">
      <c r="E15" s="15" t="s">
        <v>80</v>
      </c>
      <c r="F15" s="4" t="s">
        <v>669</v>
      </c>
    </row>
    <row r="16" spans="5:6" ht="15">
      <c r="E16" s="15" t="s">
        <v>81</v>
      </c>
      <c r="F16" s="4" t="s">
        <v>668</v>
      </c>
    </row>
    <row r="17" ht="15">
      <c r="E17" s="15"/>
    </row>
    <row r="19" spans="1:2" ht="18">
      <c r="A19" s="16"/>
      <c r="B19" s="16"/>
    </row>
    <row r="20" spans="1:2" ht="15">
      <c r="A20" s="17"/>
      <c r="B20" s="17"/>
    </row>
    <row r="21" spans="1:6" ht="14.25" customHeight="1">
      <c r="A21" s="33"/>
      <c r="B21" s="33"/>
      <c r="C21" s="33"/>
      <c r="D21" s="33"/>
      <c r="E21" s="33"/>
      <c r="F21" s="33"/>
    </row>
    <row r="22" spans="1:6" ht="15" customHeight="1">
      <c r="A22" s="33"/>
      <c r="B22" s="33"/>
      <c r="C22" s="33"/>
      <c r="D22" s="33"/>
      <c r="E22" s="33"/>
      <c r="F22" s="33"/>
    </row>
    <row r="23" spans="1:6" ht="12.75" customHeight="1">
      <c r="A23" s="33"/>
      <c r="B23" s="33"/>
      <c r="C23" s="33"/>
      <c r="D23" s="33"/>
      <c r="E23" s="33"/>
      <c r="F23" s="33"/>
    </row>
    <row r="24" spans="1:6" ht="12.75" customHeight="1">
      <c r="A24" s="33"/>
      <c r="B24" s="33"/>
      <c r="C24" s="33"/>
      <c r="D24" s="33"/>
      <c r="E24" s="33"/>
      <c r="F24" s="33"/>
    </row>
    <row r="25" spans="1:6" ht="12.75" customHeight="1">
      <c r="A25" s="33"/>
      <c r="B25" s="33"/>
      <c r="C25" s="33"/>
      <c r="D25" s="33"/>
      <c r="E25" s="33"/>
      <c r="F25" s="33"/>
    </row>
    <row r="26" spans="1:6" ht="12.75" customHeight="1">
      <c r="A26" s="33"/>
      <c r="B26" s="33"/>
      <c r="C26" s="33"/>
      <c r="D26" s="33"/>
      <c r="E26" s="33"/>
      <c r="F26" s="33"/>
    </row>
    <row r="27" spans="1:6" ht="12.75" customHeight="1">
      <c r="A27" s="33"/>
      <c r="B27" s="33"/>
      <c r="C27" s="33"/>
      <c r="D27" s="33"/>
      <c r="E27" s="33"/>
      <c r="F27" s="33"/>
    </row>
  </sheetData>
  <sheetProtection/>
  <mergeCells count="14">
    <mergeCell ref="K3:K4"/>
    <mergeCell ref="G4:H4"/>
    <mergeCell ref="A5:J5"/>
    <mergeCell ref="G6:H6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8" sqref="F8:F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1.875" style="4" bestFit="1" customWidth="1"/>
    <col min="7" max="7" width="4.625" style="3" bestFit="1" customWidth="1"/>
    <col min="8" max="8" width="4.625" style="28" bestFit="1" customWidth="1"/>
    <col min="9" max="9" width="7.875" style="4" bestFit="1" customWidth="1"/>
    <col min="10" max="10" width="7.625" style="3" bestFit="1" customWidth="1"/>
    <col min="11" max="11" width="20.25390625" style="4" bestFit="1" customWidth="1"/>
    <col min="12" max="16384" width="9.125" style="3" customWidth="1"/>
  </cols>
  <sheetData>
    <row r="1" spans="1:11" s="2" customFormat="1" ht="28.5" customHeight="1">
      <c r="A1" s="44" t="s">
        <v>619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>
      <c r="A3" s="50" t="s">
        <v>0</v>
      </c>
      <c r="B3" s="52" t="s">
        <v>6</v>
      </c>
      <c r="C3" s="52" t="s">
        <v>7</v>
      </c>
      <c r="D3" s="38" t="s">
        <v>620</v>
      </c>
      <c r="E3" s="38" t="s">
        <v>4</v>
      </c>
      <c r="F3" s="38" t="s">
        <v>8</v>
      </c>
      <c r="G3" s="38" t="s">
        <v>600</v>
      </c>
      <c r="H3" s="38"/>
      <c r="I3" s="38" t="s">
        <v>603</v>
      </c>
      <c r="J3" s="38" t="s">
        <v>3</v>
      </c>
      <c r="K3" s="40" t="s">
        <v>2</v>
      </c>
    </row>
    <row r="4" spans="1:11" s="1" customFormat="1" ht="21" customHeight="1" thickBot="1">
      <c r="A4" s="51"/>
      <c r="B4" s="39"/>
      <c r="C4" s="39"/>
      <c r="D4" s="39"/>
      <c r="E4" s="39"/>
      <c r="F4" s="39"/>
      <c r="G4" s="5" t="s">
        <v>601</v>
      </c>
      <c r="H4" s="26" t="s">
        <v>602</v>
      </c>
      <c r="I4" s="39"/>
      <c r="J4" s="39"/>
      <c r="K4" s="41"/>
    </row>
    <row r="5" spans="1:10" ht="15">
      <c r="A5" s="42" t="s">
        <v>621</v>
      </c>
      <c r="B5" s="43"/>
      <c r="C5" s="43"/>
      <c r="D5" s="43"/>
      <c r="E5" s="43"/>
      <c r="F5" s="43"/>
      <c r="G5" s="43"/>
      <c r="H5" s="43"/>
      <c r="I5" s="43"/>
      <c r="J5" s="43"/>
    </row>
    <row r="6" spans="1:11" ht="12.75">
      <c r="A6" s="12" t="s">
        <v>178</v>
      </c>
      <c r="B6" s="12" t="s">
        <v>179</v>
      </c>
      <c r="C6" s="12" t="s">
        <v>180</v>
      </c>
      <c r="D6" s="12" t="str">
        <f>"1,0000"</f>
        <v>1,0000</v>
      </c>
      <c r="E6" s="12" t="s">
        <v>19</v>
      </c>
      <c r="F6" s="12" t="s">
        <v>47</v>
      </c>
      <c r="G6" s="13" t="s">
        <v>25</v>
      </c>
      <c r="H6" s="27" t="s">
        <v>622</v>
      </c>
      <c r="I6" s="12" t="str">
        <f>"910,0"</f>
        <v>910,0</v>
      </c>
      <c r="J6" s="13" t="str">
        <f>"18,9979"</f>
        <v>18,9979</v>
      </c>
      <c r="K6" s="12" t="s">
        <v>149</v>
      </c>
    </row>
    <row r="8" spans="5:6" ht="15">
      <c r="E8" s="15" t="s">
        <v>77</v>
      </c>
      <c r="F8" s="4" t="s">
        <v>664</v>
      </c>
    </row>
    <row r="9" spans="5:6" ht="15">
      <c r="E9" s="15" t="s">
        <v>78</v>
      </c>
      <c r="F9" s="4" t="s">
        <v>665</v>
      </c>
    </row>
    <row r="10" spans="5:6" ht="15">
      <c r="E10" s="15" t="s">
        <v>79</v>
      </c>
      <c r="F10" s="4" t="s">
        <v>666</v>
      </c>
    </row>
    <row r="11" spans="5:6" ht="15">
      <c r="E11" s="15" t="s">
        <v>80</v>
      </c>
      <c r="F11" s="4" t="s">
        <v>667</v>
      </c>
    </row>
    <row r="12" spans="5:6" ht="15">
      <c r="E12" s="15" t="s">
        <v>80</v>
      </c>
      <c r="F12" s="4" t="s">
        <v>669</v>
      </c>
    </row>
    <row r="13" spans="5:6" ht="15">
      <c r="E13" s="15" t="s">
        <v>81</v>
      </c>
      <c r="F13" s="4" t="s">
        <v>668</v>
      </c>
    </row>
    <row r="14" ht="15">
      <c r="E14" s="15"/>
    </row>
    <row r="16" spans="1:2" ht="18">
      <c r="A16" s="16" t="s">
        <v>82</v>
      </c>
      <c r="B16" s="16"/>
    </row>
    <row r="17" spans="1:2" ht="15">
      <c r="A17" s="17" t="s">
        <v>83</v>
      </c>
      <c r="B17" s="17"/>
    </row>
    <row r="18" spans="1:2" ht="14.25">
      <c r="A18" s="19"/>
      <c r="B18" s="20" t="s">
        <v>93</v>
      </c>
    </row>
    <row r="19" spans="1:5" ht="15">
      <c r="A19" s="21" t="s">
        <v>85</v>
      </c>
      <c r="B19" s="21" t="s">
        <v>86</v>
      </c>
      <c r="C19" s="21" t="s">
        <v>87</v>
      </c>
      <c r="D19" s="21" t="s">
        <v>88</v>
      </c>
      <c r="E19" s="21" t="s">
        <v>623</v>
      </c>
    </row>
    <row r="20" spans="1:5" ht="12.75">
      <c r="A20" s="18" t="s">
        <v>177</v>
      </c>
      <c r="B20" s="4" t="s">
        <v>93</v>
      </c>
      <c r="C20" s="4" t="s">
        <v>624</v>
      </c>
      <c r="D20" s="4" t="s">
        <v>625</v>
      </c>
      <c r="E20" s="22" t="s">
        <v>626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1.875" style="4" bestFit="1" customWidth="1"/>
    <col min="7" max="7" width="4.625" style="3" bestFit="1" customWidth="1"/>
    <col min="8" max="8" width="4.625" style="28" bestFit="1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4" t="s">
        <v>604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>
      <c r="A3" s="50" t="s">
        <v>0</v>
      </c>
      <c r="B3" s="52" t="s">
        <v>6</v>
      </c>
      <c r="C3" s="52" t="s">
        <v>7</v>
      </c>
      <c r="D3" s="38" t="s">
        <v>576</v>
      </c>
      <c r="E3" s="38" t="s">
        <v>4</v>
      </c>
      <c r="F3" s="38" t="s">
        <v>8</v>
      </c>
      <c r="G3" s="38" t="s">
        <v>600</v>
      </c>
      <c r="H3" s="38"/>
      <c r="I3" s="38" t="s">
        <v>603</v>
      </c>
      <c r="J3" s="38" t="s">
        <v>3</v>
      </c>
      <c r="K3" s="40" t="s">
        <v>2</v>
      </c>
    </row>
    <row r="4" spans="1:11" s="1" customFormat="1" ht="21" customHeight="1" thickBot="1">
      <c r="A4" s="51"/>
      <c r="B4" s="39"/>
      <c r="C4" s="39"/>
      <c r="D4" s="39"/>
      <c r="E4" s="39"/>
      <c r="F4" s="39"/>
      <c r="G4" s="5" t="s">
        <v>601</v>
      </c>
      <c r="H4" s="26" t="s">
        <v>602</v>
      </c>
      <c r="I4" s="39"/>
      <c r="J4" s="39"/>
      <c r="K4" s="41"/>
    </row>
    <row r="5" spans="1:10" ht="15">
      <c r="A5" s="42" t="s">
        <v>113</v>
      </c>
      <c r="B5" s="43"/>
      <c r="C5" s="43"/>
      <c r="D5" s="43"/>
      <c r="E5" s="43"/>
      <c r="F5" s="43"/>
      <c r="G5" s="43"/>
      <c r="H5" s="43"/>
      <c r="I5" s="43"/>
      <c r="J5" s="43"/>
    </row>
    <row r="6" spans="1:11" ht="12.75">
      <c r="A6" s="12" t="s">
        <v>606</v>
      </c>
      <c r="B6" s="12" t="s">
        <v>607</v>
      </c>
      <c r="C6" s="12" t="s">
        <v>608</v>
      </c>
      <c r="D6" s="12" t="str">
        <f>"0,7869"</f>
        <v>0,7869</v>
      </c>
      <c r="E6" s="12" t="s">
        <v>58</v>
      </c>
      <c r="F6" s="12" t="s">
        <v>47</v>
      </c>
      <c r="G6" s="13" t="s">
        <v>22</v>
      </c>
      <c r="H6" s="27" t="s">
        <v>609</v>
      </c>
      <c r="I6" s="12" t="str">
        <f>"3440,0"</f>
        <v>3440,0</v>
      </c>
      <c r="J6" s="13" t="str">
        <f>"2706,9359"</f>
        <v>2706,9359</v>
      </c>
      <c r="K6" s="12" t="s">
        <v>610</v>
      </c>
    </row>
    <row r="8" spans="1:10" ht="15">
      <c r="A8" s="53" t="s">
        <v>155</v>
      </c>
      <c r="B8" s="54"/>
      <c r="C8" s="54"/>
      <c r="D8" s="54"/>
      <c r="E8" s="54"/>
      <c r="F8" s="54"/>
      <c r="G8" s="54"/>
      <c r="H8" s="54"/>
      <c r="I8" s="54"/>
      <c r="J8" s="54"/>
    </row>
    <row r="9" spans="1:11" ht="12.75">
      <c r="A9" s="12" t="s">
        <v>612</v>
      </c>
      <c r="B9" s="12" t="s">
        <v>613</v>
      </c>
      <c r="C9" s="12" t="s">
        <v>614</v>
      </c>
      <c r="D9" s="12" t="str">
        <f>"0,7593"</f>
        <v>0,7593</v>
      </c>
      <c r="E9" s="12" t="s">
        <v>19</v>
      </c>
      <c r="F9" s="12" t="s">
        <v>47</v>
      </c>
      <c r="G9" s="13" t="s">
        <v>23</v>
      </c>
      <c r="H9" s="27" t="s">
        <v>25</v>
      </c>
      <c r="I9" s="12" t="str">
        <f>"2975,0"</f>
        <v>2975,0</v>
      </c>
      <c r="J9" s="13" t="str">
        <f>"2258,9175"</f>
        <v>2258,9175</v>
      </c>
      <c r="K9" s="12" t="s">
        <v>610</v>
      </c>
    </row>
    <row r="11" spans="5:6" ht="15">
      <c r="E11" s="15" t="s">
        <v>77</v>
      </c>
      <c r="F11" s="4" t="s">
        <v>664</v>
      </c>
    </row>
    <row r="12" spans="5:6" ht="15">
      <c r="E12" s="15" t="s">
        <v>78</v>
      </c>
      <c r="F12" s="4" t="s">
        <v>665</v>
      </c>
    </row>
    <row r="13" spans="5:6" ht="15">
      <c r="E13" s="15" t="s">
        <v>79</v>
      </c>
      <c r="F13" s="4" t="s">
        <v>666</v>
      </c>
    </row>
    <row r="14" spans="5:6" ht="15">
      <c r="E14" s="15" t="s">
        <v>80</v>
      </c>
      <c r="F14" s="4" t="s">
        <v>667</v>
      </c>
    </row>
    <row r="15" spans="5:6" ht="15">
      <c r="E15" s="15" t="s">
        <v>80</v>
      </c>
      <c r="F15" s="4" t="s">
        <v>669</v>
      </c>
    </row>
    <row r="16" spans="5:6" ht="15">
      <c r="E16" s="15" t="s">
        <v>81</v>
      </c>
      <c r="F16" s="4" t="s">
        <v>668</v>
      </c>
    </row>
    <row r="17" ht="15">
      <c r="E17" s="15"/>
    </row>
    <row r="19" spans="1:2" ht="18">
      <c r="A19" s="16" t="s">
        <v>82</v>
      </c>
      <c r="B19" s="16"/>
    </row>
    <row r="20" spans="1:2" ht="15">
      <c r="A20" s="17" t="s">
        <v>96</v>
      </c>
      <c r="B20" s="17"/>
    </row>
    <row r="21" spans="1:2" ht="14.25">
      <c r="A21" s="19"/>
      <c r="B21" s="20" t="s">
        <v>93</v>
      </c>
    </row>
    <row r="22" spans="1:5" ht="15">
      <c r="A22" s="21" t="s">
        <v>85</v>
      </c>
      <c r="B22" s="21" t="s">
        <v>86</v>
      </c>
      <c r="C22" s="21" t="s">
        <v>87</v>
      </c>
      <c r="D22" s="21" t="s">
        <v>88</v>
      </c>
      <c r="E22" s="21" t="s">
        <v>589</v>
      </c>
    </row>
    <row r="23" spans="1:5" ht="12.75">
      <c r="A23" s="18" t="s">
        <v>605</v>
      </c>
      <c r="B23" s="4" t="s">
        <v>93</v>
      </c>
      <c r="C23" s="4" t="s">
        <v>63</v>
      </c>
      <c r="D23" s="4" t="s">
        <v>615</v>
      </c>
      <c r="E23" s="22" t="s">
        <v>616</v>
      </c>
    </row>
    <row r="24" spans="1:5" ht="12.75">
      <c r="A24" s="18" t="s">
        <v>611</v>
      </c>
      <c r="B24" s="4" t="s">
        <v>93</v>
      </c>
      <c r="C24" s="4" t="s">
        <v>36</v>
      </c>
      <c r="D24" s="4" t="s">
        <v>617</v>
      </c>
      <c r="E24" s="22" t="s">
        <v>618</v>
      </c>
    </row>
  </sheetData>
  <sheetProtection/>
  <mergeCells count="13"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F20" sqref="F20:F25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4.125" style="4" bestFit="1" customWidth="1"/>
    <col min="7" max="7" width="5.625" style="3" bestFit="1" customWidth="1"/>
    <col min="8" max="8" width="4.625" style="28" bestFit="1" customWidth="1"/>
    <col min="9" max="9" width="7.875" style="4" bestFit="1" customWidth="1"/>
    <col min="10" max="10" width="9.625" style="3" bestFit="1" customWidth="1"/>
    <col min="11" max="11" width="16.375" style="4" bestFit="1" customWidth="1"/>
    <col min="12" max="16384" width="9.125" style="3" customWidth="1"/>
  </cols>
  <sheetData>
    <row r="1" spans="1:11" s="2" customFormat="1" ht="28.5" customHeight="1">
      <c r="A1" s="44" t="s">
        <v>575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>
      <c r="A3" s="50" t="s">
        <v>0</v>
      </c>
      <c r="B3" s="52" t="s">
        <v>6</v>
      </c>
      <c r="C3" s="52" t="s">
        <v>7</v>
      </c>
      <c r="D3" s="38" t="s">
        <v>576</v>
      </c>
      <c r="E3" s="38" t="s">
        <v>4</v>
      </c>
      <c r="F3" s="38" t="s">
        <v>8</v>
      </c>
      <c r="G3" s="38" t="s">
        <v>600</v>
      </c>
      <c r="H3" s="38"/>
      <c r="I3" s="38" t="s">
        <v>603</v>
      </c>
      <c r="J3" s="38" t="s">
        <v>3</v>
      </c>
      <c r="K3" s="40" t="s">
        <v>2</v>
      </c>
    </row>
    <row r="4" spans="1:11" s="1" customFormat="1" ht="21" customHeight="1" thickBot="1">
      <c r="A4" s="51"/>
      <c r="B4" s="39"/>
      <c r="C4" s="39"/>
      <c r="D4" s="39"/>
      <c r="E4" s="39"/>
      <c r="F4" s="39"/>
      <c r="G4" s="5" t="s">
        <v>601</v>
      </c>
      <c r="H4" s="26" t="s">
        <v>602</v>
      </c>
      <c r="I4" s="39"/>
      <c r="J4" s="39"/>
      <c r="K4" s="41"/>
    </row>
    <row r="5" spans="1:10" ht="15">
      <c r="A5" s="42" t="s">
        <v>108</v>
      </c>
      <c r="B5" s="43"/>
      <c r="C5" s="43"/>
      <c r="D5" s="43"/>
      <c r="E5" s="43"/>
      <c r="F5" s="43"/>
      <c r="G5" s="43"/>
      <c r="H5" s="43"/>
      <c r="I5" s="43"/>
      <c r="J5" s="43"/>
    </row>
    <row r="6" spans="1:11" ht="12.75">
      <c r="A6" s="12" t="s">
        <v>577</v>
      </c>
      <c r="B6" s="12" t="s">
        <v>219</v>
      </c>
      <c r="C6" s="12" t="s">
        <v>220</v>
      </c>
      <c r="D6" s="12" t="str">
        <f>"0,8861"</f>
        <v>0,8861</v>
      </c>
      <c r="E6" s="12" t="s">
        <v>124</v>
      </c>
      <c r="F6" s="12" t="s">
        <v>20</v>
      </c>
      <c r="G6" s="13" t="s">
        <v>60</v>
      </c>
      <c r="H6" s="27" t="s">
        <v>578</v>
      </c>
      <c r="I6" s="12" t="str">
        <f>"1235,0"</f>
        <v>1235,0</v>
      </c>
      <c r="J6" s="13" t="str">
        <f>"1094,3335"</f>
        <v>1094,3335</v>
      </c>
      <c r="K6" s="12" t="s">
        <v>128</v>
      </c>
    </row>
    <row r="8" spans="1:10" ht="15">
      <c r="A8" s="53" t="s">
        <v>113</v>
      </c>
      <c r="B8" s="54"/>
      <c r="C8" s="54"/>
      <c r="D8" s="54"/>
      <c r="E8" s="54"/>
      <c r="F8" s="54"/>
      <c r="G8" s="54"/>
      <c r="H8" s="54"/>
      <c r="I8" s="54"/>
      <c r="J8" s="54"/>
    </row>
    <row r="9" spans="1:11" ht="12.75">
      <c r="A9" s="12" t="s">
        <v>245</v>
      </c>
      <c r="B9" s="12" t="s">
        <v>246</v>
      </c>
      <c r="C9" s="12" t="s">
        <v>153</v>
      </c>
      <c r="D9" s="12" t="str">
        <f>"0,7573"</f>
        <v>0,7573</v>
      </c>
      <c r="E9" s="12" t="s">
        <v>124</v>
      </c>
      <c r="F9" s="12" t="s">
        <v>20</v>
      </c>
      <c r="G9" s="13" t="s">
        <v>63</v>
      </c>
      <c r="H9" s="27" t="s">
        <v>579</v>
      </c>
      <c r="I9" s="12" t="str">
        <f>"1897,5"</f>
        <v>1897,5</v>
      </c>
      <c r="J9" s="13" t="str">
        <f>"1436,9768"</f>
        <v>1436,9768</v>
      </c>
      <c r="K9" s="12" t="s">
        <v>76</v>
      </c>
    </row>
    <row r="11" spans="1:10" ht="15">
      <c r="A11" s="53" t="s">
        <v>155</v>
      </c>
      <c r="B11" s="54"/>
      <c r="C11" s="54"/>
      <c r="D11" s="54"/>
      <c r="E11" s="54"/>
      <c r="F11" s="54"/>
      <c r="G11" s="54"/>
      <c r="H11" s="54"/>
      <c r="I11" s="54"/>
      <c r="J11" s="54"/>
    </row>
    <row r="12" spans="1:11" ht="12.75">
      <c r="A12" s="12" t="s">
        <v>580</v>
      </c>
      <c r="B12" s="12" t="s">
        <v>274</v>
      </c>
      <c r="C12" s="12" t="s">
        <v>275</v>
      </c>
      <c r="D12" s="12" t="str">
        <f>"0,7137"</f>
        <v>0,7137</v>
      </c>
      <c r="E12" s="12" t="s">
        <v>124</v>
      </c>
      <c r="F12" s="12" t="s">
        <v>20</v>
      </c>
      <c r="G12" s="13" t="s">
        <v>36</v>
      </c>
      <c r="H12" s="27" t="s">
        <v>578</v>
      </c>
      <c r="I12" s="12" t="str">
        <f>"1710,0"</f>
        <v>1710,0</v>
      </c>
      <c r="J12" s="13" t="str">
        <f>"1220,4270"</f>
        <v>1220,4270</v>
      </c>
      <c r="K12" s="12" t="s">
        <v>128</v>
      </c>
    </row>
    <row r="14" spans="1:10" ht="15">
      <c r="A14" s="53" t="s">
        <v>119</v>
      </c>
      <c r="B14" s="54"/>
      <c r="C14" s="54"/>
      <c r="D14" s="54"/>
      <c r="E14" s="54"/>
      <c r="F14" s="54"/>
      <c r="G14" s="54"/>
      <c r="H14" s="54"/>
      <c r="I14" s="54"/>
      <c r="J14" s="54"/>
    </row>
    <row r="15" spans="1:11" ht="12.75">
      <c r="A15" s="12" t="s">
        <v>581</v>
      </c>
      <c r="B15" s="12" t="s">
        <v>291</v>
      </c>
      <c r="C15" s="12" t="s">
        <v>582</v>
      </c>
      <c r="D15" s="12" t="str">
        <f>"0,6840"</f>
        <v>0,6840</v>
      </c>
      <c r="E15" s="12" t="s">
        <v>124</v>
      </c>
      <c r="F15" s="12" t="s">
        <v>20</v>
      </c>
      <c r="G15" s="13" t="s">
        <v>583</v>
      </c>
      <c r="H15" s="27" t="s">
        <v>578</v>
      </c>
      <c r="I15" s="12" t="str">
        <f>"1852,5"</f>
        <v>1852,5</v>
      </c>
      <c r="J15" s="13" t="str">
        <f>"1267,1100"</f>
        <v>1267,1100</v>
      </c>
      <c r="K15" s="12" t="s">
        <v>128</v>
      </c>
    </row>
    <row r="17" spans="1:10" ht="15">
      <c r="A17" s="53" t="s">
        <v>65</v>
      </c>
      <c r="B17" s="54"/>
      <c r="C17" s="54"/>
      <c r="D17" s="54"/>
      <c r="E17" s="54"/>
      <c r="F17" s="54"/>
      <c r="G17" s="54"/>
      <c r="H17" s="54"/>
      <c r="I17" s="54"/>
      <c r="J17" s="54"/>
    </row>
    <row r="18" spans="1:11" ht="12.75">
      <c r="A18" s="12" t="s">
        <v>585</v>
      </c>
      <c r="B18" s="12" t="s">
        <v>586</v>
      </c>
      <c r="C18" s="12" t="s">
        <v>587</v>
      </c>
      <c r="D18" s="12" t="str">
        <f>"0,6425"</f>
        <v>0,6425</v>
      </c>
      <c r="E18" s="12" t="s">
        <v>124</v>
      </c>
      <c r="F18" s="12" t="s">
        <v>20</v>
      </c>
      <c r="G18" s="13" t="s">
        <v>104</v>
      </c>
      <c r="H18" s="27" t="s">
        <v>588</v>
      </c>
      <c r="I18" s="12" t="str">
        <f>"1870,0"</f>
        <v>1870,0</v>
      </c>
      <c r="J18" s="13" t="str">
        <f>"1201,4750"</f>
        <v>1201,4750</v>
      </c>
      <c r="K18" s="12" t="s">
        <v>128</v>
      </c>
    </row>
    <row r="20" spans="5:6" ht="15">
      <c r="E20" s="15" t="s">
        <v>77</v>
      </c>
      <c r="F20" s="4" t="s">
        <v>664</v>
      </c>
    </row>
    <row r="21" spans="5:6" ht="15">
      <c r="E21" s="15" t="s">
        <v>78</v>
      </c>
      <c r="F21" s="4" t="s">
        <v>665</v>
      </c>
    </row>
    <row r="22" spans="5:6" ht="15">
      <c r="E22" s="15" t="s">
        <v>79</v>
      </c>
      <c r="F22" s="4" t="s">
        <v>666</v>
      </c>
    </row>
    <row r="23" spans="5:6" ht="15">
      <c r="E23" s="15" t="s">
        <v>80</v>
      </c>
      <c r="F23" s="4" t="s">
        <v>667</v>
      </c>
    </row>
    <row r="24" spans="5:6" ht="15">
      <c r="E24" s="15" t="s">
        <v>80</v>
      </c>
      <c r="F24" s="4" t="s">
        <v>669</v>
      </c>
    </row>
    <row r="25" spans="5:6" ht="15">
      <c r="E25" s="15" t="s">
        <v>81</v>
      </c>
      <c r="F25" s="4" t="s">
        <v>668</v>
      </c>
    </row>
    <row r="26" ht="15">
      <c r="E26" s="15"/>
    </row>
    <row r="28" spans="1:2" ht="18">
      <c r="A28" s="16" t="s">
        <v>82</v>
      </c>
      <c r="B28" s="16"/>
    </row>
    <row r="29" spans="1:2" ht="15">
      <c r="A29" s="17" t="s">
        <v>96</v>
      </c>
      <c r="B29" s="17"/>
    </row>
    <row r="30" spans="1:2" ht="14.25">
      <c r="A30" s="19"/>
      <c r="B30" s="20" t="s">
        <v>93</v>
      </c>
    </row>
    <row r="31" spans="1:5" ht="15">
      <c r="A31" s="21" t="s">
        <v>85</v>
      </c>
      <c r="B31" s="21" t="s">
        <v>86</v>
      </c>
      <c r="C31" s="21" t="s">
        <v>87</v>
      </c>
      <c r="D31" s="21" t="s">
        <v>88</v>
      </c>
      <c r="E31" s="21" t="s">
        <v>589</v>
      </c>
    </row>
    <row r="32" spans="1:5" ht="12.75">
      <c r="A32" s="18" t="s">
        <v>289</v>
      </c>
      <c r="B32" s="4" t="s">
        <v>93</v>
      </c>
      <c r="C32" s="4" t="s">
        <v>27</v>
      </c>
      <c r="D32" s="4" t="s">
        <v>590</v>
      </c>
      <c r="E32" s="22" t="s">
        <v>591</v>
      </c>
    </row>
    <row r="33" spans="1:5" ht="12.75">
      <c r="A33" s="18" t="s">
        <v>272</v>
      </c>
      <c r="B33" s="4" t="s">
        <v>93</v>
      </c>
      <c r="C33" s="4" t="s">
        <v>36</v>
      </c>
      <c r="D33" s="4" t="s">
        <v>592</v>
      </c>
      <c r="E33" s="22" t="s">
        <v>593</v>
      </c>
    </row>
    <row r="34" spans="1:5" ht="12.75">
      <c r="A34" s="18" t="s">
        <v>584</v>
      </c>
      <c r="B34" s="4" t="s">
        <v>93</v>
      </c>
      <c r="C34" s="4" t="s">
        <v>104</v>
      </c>
      <c r="D34" s="4" t="s">
        <v>594</v>
      </c>
      <c r="E34" s="22" t="s">
        <v>595</v>
      </c>
    </row>
    <row r="35" spans="1:5" ht="12.75">
      <c r="A35" s="18" t="s">
        <v>217</v>
      </c>
      <c r="B35" s="4" t="s">
        <v>93</v>
      </c>
      <c r="C35" s="4" t="s">
        <v>129</v>
      </c>
      <c r="D35" s="4" t="s">
        <v>596</v>
      </c>
      <c r="E35" s="22" t="s">
        <v>597</v>
      </c>
    </row>
    <row r="37" spans="1:2" ht="14.25">
      <c r="A37" s="19"/>
      <c r="B37" s="20" t="s">
        <v>164</v>
      </c>
    </row>
    <row r="38" spans="1:5" ht="15">
      <c r="A38" s="21" t="s">
        <v>85</v>
      </c>
      <c r="B38" s="21" t="s">
        <v>86</v>
      </c>
      <c r="C38" s="21" t="s">
        <v>87</v>
      </c>
      <c r="D38" s="21" t="s">
        <v>88</v>
      </c>
      <c r="E38" s="21" t="s">
        <v>589</v>
      </c>
    </row>
    <row r="39" spans="1:5" ht="12.75">
      <c r="A39" s="18" t="s">
        <v>244</v>
      </c>
      <c r="B39" s="4" t="s">
        <v>362</v>
      </c>
      <c r="C39" s="4" t="s">
        <v>63</v>
      </c>
      <c r="D39" s="4" t="s">
        <v>598</v>
      </c>
      <c r="E39" s="22" t="s">
        <v>599</v>
      </c>
    </row>
  </sheetData>
  <sheetProtection/>
  <mergeCells count="16">
    <mergeCell ref="A14:J14"/>
    <mergeCell ref="A17:J17"/>
    <mergeCell ref="I3:I4"/>
    <mergeCell ref="J3:J4"/>
    <mergeCell ref="K3:K4"/>
    <mergeCell ref="A5:J5"/>
    <mergeCell ref="A8:J8"/>
    <mergeCell ref="A11:J11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R3" sqref="A3:IV6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1.87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15.75390625" style="4" bestFit="1" customWidth="1"/>
    <col min="18" max="16384" width="9.125" style="3" customWidth="1"/>
  </cols>
  <sheetData>
    <row r="1" spans="1:17" s="2" customFormat="1" ht="28.5" customHeight="1">
      <c r="A1" s="44" t="s">
        <v>565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s="1" customFormat="1" ht="12.75" customHeight="1">
      <c r="A3" s="50" t="s">
        <v>0</v>
      </c>
      <c r="B3" s="52" t="s">
        <v>6</v>
      </c>
      <c r="C3" s="52" t="s">
        <v>7</v>
      </c>
      <c r="D3" s="38" t="s">
        <v>10</v>
      </c>
      <c r="E3" s="38" t="s">
        <v>4</v>
      </c>
      <c r="F3" s="38" t="s">
        <v>8</v>
      </c>
      <c r="G3" s="38" t="s">
        <v>12</v>
      </c>
      <c r="H3" s="38"/>
      <c r="I3" s="38"/>
      <c r="J3" s="38"/>
      <c r="K3" s="38" t="s">
        <v>13</v>
      </c>
      <c r="L3" s="38"/>
      <c r="M3" s="38"/>
      <c r="N3" s="38"/>
      <c r="O3" s="38" t="s">
        <v>1</v>
      </c>
      <c r="P3" s="38" t="s">
        <v>3</v>
      </c>
      <c r="Q3" s="40" t="s">
        <v>2</v>
      </c>
    </row>
    <row r="4" spans="1:17" s="1" customFormat="1" ht="21" customHeight="1" thickBot="1">
      <c r="A4" s="51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9"/>
      <c r="P4" s="39"/>
      <c r="Q4" s="41"/>
    </row>
    <row r="5" spans="1:16" ht="15">
      <c r="A5" s="42" t="s">
        <v>326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7" ht="12.75">
      <c r="A6" s="12" t="s">
        <v>567</v>
      </c>
      <c r="B6" s="12" t="s">
        <v>568</v>
      </c>
      <c r="C6" s="12" t="s">
        <v>569</v>
      </c>
      <c r="D6" s="12" t="str">
        <f>"0,5238"</f>
        <v>0,5238</v>
      </c>
      <c r="E6" s="12" t="s">
        <v>34</v>
      </c>
      <c r="F6" s="12" t="s">
        <v>47</v>
      </c>
      <c r="G6" s="13" t="s">
        <v>70</v>
      </c>
      <c r="H6" s="13" t="s">
        <v>381</v>
      </c>
      <c r="I6" s="14" t="s">
        <v>391</v>
      </c>
      <c r="J6" s="14"/>
      <c r="K6" s="13" t="s">
        <v>570</v>
      </c>
      <c r="L6" s="13" t="s">
        <v>571</v>
      </c>
      <c r="M6" s="13" t="s">
        <v>572</v>
      </c>
      <c r="N6" s="14"/>
      <c r="O6" s="12" t="str">
        <f>"555,0"</f>
        <v>555,0</v>
      </c>
      <c r="P6" s="13" t="str">
        <f>"290,7090"</f>
        <v>290,7090</v>
      </c>
      <c r="Q6" s="12" t="s">
        <v>76</v>
      </c>
    </row>
    <row r="8" spans="5:6" ht="15">
      <c r="E8" s="15" t="s">
        <v>77</v>
      </c>
      <c r="F8" s="4" t="s">
        <v>664</v>
      </c>
    </row>
    <row r="9" spans="5:6" ht="15">
      <c r="E9" s="15" t="s">
        <v>78</v>
      </c>
      <c r="F9" s="4" t="s">
        <v>665</v>
      </c>
    </row>
    <row r="10" spans="5:6" ht="15">
      <c r="E10" s="15" t="s">
        <v>79</v>
      </c>
      <c r="F10" s="4" t="s">
        <v>666</v>
      </c>
    </row>
    <row r="11" spans="5:6" ht="15">
      <c r="E11" s="15" t="s">
        <v>80</v>
      </c>
      <c r="F11" s="4" t="s">
        <v>667</v>
      </c>
    </row>
    <row r="12" spans="5:6" ht="15">
      <c r="E12" s="15" t="s">
        <v>80</v>
      </c>
      <c r="F12" s="4" t="s">
        <v>669</v>
      </c>
    </row>
    <row r="13" spans="5:6" ht="15">
      <c r="E13" s="15" t="s">
        <v>81</v>
      </c>
      <c r="F13" s="4" t="s">
        <v>668</v>
      </c>
    </row>
    <row r="14" ht="15">
      <c r="E14" s="15"/>
    </row>
    <row r="16" spans="1:2" ht="18">
      <c r="A16" s="16" t="s">
        <v>82</v>
      </c>
      <c r="B16" s="16"/>
    </row>
    <row r="17" spans="1:2" ht="15">
      <c r="A17" s="17" t="s">
        <v>96</v>
      </c>
      <c r="B17" s="17"/>
    </row>
    <row r="18" spans="1:2" ht="14.25">
      <c r="A18" s="19"/>
      <c r="B18" s="20" t="s">
        <v>93</v>
      </c>
    </row>
    <row r="19" spans="1:5" ht="15">
      <c r="A19" s="21" t="s">
        <v>85</v>
      </c>
      <c r="B19" s="21" t="s">
        <v>86</v>
      </c>
      <c r="C19" s="21" t="s">
        <v>87</v>
      </c>
      <c r="D19" s="21" t="s">
        <v>88</v>
      </c>
      <c r="E19" s="21" t="s">
        <v>89</v>
      </c>
    </row>
    <row r="20" spans="1:5" ht="12.75">
      <c r="A20" s="18" t="s">
        <v>566</v>
      </c>
      <c r="B20" s="4" t="s">
        <v>93</v>
      </c>
      <c r="C20" s="4" t="s">
        <v>267</v>
      </c>
      <c r="D20" s="4" t="s">
        <v>573</v>
      </c>
      <c r="E20" s="22" t="s">
        <v>574</v>
      </c>
    </row>
  </sheetData>
  <sheetProtection/>
  <mergeCells count="13">
    <mergeCell ref="O3:O4"/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8" sqref="F8:F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1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6.875" style="4" bestFit="1" customWidth="1"/>
    <col min="14" max="16384" width="9.125" style="3" customWidth="1"/>
  </cols>
  <sheetData>
    <row r="1" spans="1:13" s="2" customFormat="1" ht="28.5" customHeight="1">
      <c r="A1" s="44" t="s">
        <v>563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0</v>
      </c>
      <c r="B3" s="52" t="s">
        <v>6</v>
      </c>
      <c r="C3" s="52" t="s">
        <v>7</v>
      </c>
      <c r="D3" s="38" t="s">
        <v>10</v>
      </c>
      <c r="E3" s="38" t="s">
        <v>4</v>
      </c>
      <c r="F3" s="38" t="s">
        <v>8</v>
      </c>
      <c r="G3" s="38" t="s">
        <v>11</v>
      </c>
      <c r="H3" s="38"/>
      <c r="I3" s="38"/>
      <c r="J3" s="38"/>
      <c r="K3" s="38" t="s">
        <v>133</v>
      </c>
      <c r="L3" s="38" t="s">
        <v>3</v>
      </c>
      <c r="M3" s="40" t="s">
        <v>2</v>
      </c>
    </row>
    <row r="4" spans="1:13" s="1" customFormat="1" ht="21" customHeight="1" thickBot="1">
      <c r="A4" s="51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5</v>
      </c>
      <c r="K4" s="39"/>
      <c r="L4" s="39"/>
      <c r="M4" s="41"/>
    </row>
    <row r="5" spans="1:12" ht="15">
      <c r="A5" s="42" t="s">
        <v>113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12" t="s">
        <v>136</v>
      </c>
      <c r="B6" s="12" t="s">
        <v>137</v>
      </c>
      <c r="C6" s="12" t="s">
        <v>138</v>
      </c>
      <c r="D6" s="12" t="str">
        <f>"0,6817"</f>
        <v>0,6817</v>
      </c>
      <c r="E6" s="12" t="s">
        <v>58</v>
      </c>
      <c r="F6" s="12" t="s">
        <v>47</v>
      </c>
      <c r="G6" s="13" t="s">
        <v>125</v>
      </c>
      <c r="H6" s="13" t="s">
        <v>258</v>
      </c>
      <c r="I6" s="13" t="s">
        <v>314</v>
      </c>
      <c r="J6" s="14"/>
      <c r="K6" s="12" t="str">
        <f>"175,0"</f>
        <v>175,0</v>
      </c>
      <c r="L6" s="13" t="str">
        <f>"119,2975"</f>
        <v>119,2975</v>
      </c>
      <c r="M6" s="12" t="s">
        <v>141</v>
      </c>
    </row>
    <row r="8" spans="5:6" ht="15">
      <c r="E8" s="15" t="s">
        <v>77</v>
      </c>
      <c r="F8" s="4" t="s">
        <v>664</v>
      </c>
    </row>
    <row r="9" spans="5:6" ht="15">
      <c r="E9" s="15" t="s">
        <v>78</v>
      </c>
      <c r="F9" s="4" t="s">
        <v>665</v>
      </c>
    </row>
    <row r="10" spans="5:6" ht="15">
      <c r="E10" s="15" t="s">
        <v>79</v>
      </c>
      <c r="F10" s="4" t="s">
        <v>666</v>
      </c>
    </row>
    <row r="11" spans="5:6" ht="15">
      <c r="E11" s="15" t="s">
        <v>80</v>
      </c>
      <c r="F11" s="4" t="s">
        <v>667</v>
      </c>
    </row>
    <row r="12" spans="5:6" ht="15">
      <c r="E12" s="15" t="s">
        <v>80</v>
      </c>
      <c r="F12" s="4" t="s">
        <v>669</v>
      </c>
    </row>
    <row r="13" spans="5:6" ht="15">
      <c r="E13" s="15" t="s">
        <v>81</v>
      </c>
      <c r="F13" s="4" t="s">
        <v>668</v>
      </c>
    </row>
    <row r="14" ht="15">
      <c r="E14" s="15"/>
    </row>
    <row r="16" spans="1:2" ht="18">
      <c r="A16" s="16" t="s">
        <v>82</v>
      </c>
      <c r="B16" s="16"/>
    </row>
    <row r="17" spans="1:2" ht="15">
      <c r="A17" s="17" t="s">
        <v>83</v>
      </c>
      <c r="B17" s="17"/>
    </row>
    <row r="18" spans="1:2" ht="14.25">
      <c r="A18" s="19"/>
      <c r="B18" s="20" t="s">
        <v>93</v>
      </c>
    </row>
    <row r="19" spans="1:5" ht="15">
      <c r="A19" s="21" t="s">
        <v>85</v>
      </c>
      <c r="B19" s="21" t="s">
        <v>86</v>
      </c>
      <c r="C19" s="21" t="s">
        <v>87</v>
      </c>
      <c r="D19" s="21" t="s">
        <v>88</v>
      </c>
      <c r="E19" s="21" t="s">
        <v>89</v>
      </c>
    </row>
    <row r="20" spans="1:5" ht="12.75">
      <c r="A20" s="18" t="s">
        <v>135</v>
      </c>
      <c r="B20" s="4" t="s">
        <v>93</v>
      </c>
      <c r="C20" s="4" t="s">
        <v>63</v>
      </c>
      <c r="D20" s="4" t="s">
        <v>314</v>
      </c>
      <c r="E20" s="22" t="s">
        <v>564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8" sqref="F8:F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1.87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6.375" style="4" bestFit="1" customWidth="1"/>
    <col min="14" max="16384" width="9.125" style="3" customWidth="1"/>
  </cols>
  <sheetData>
    <row r="1" spans="1:13" s="2" customFormat="1" ht="28.5" customHeight="1">
      <c r="A1" s="44" t="s">
        <v>560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0</v>
      </c>
      <c r="B3" s="52" t="s">
        <v>6</v>
      </c>
      <c r="C3" s="52" t="s">
        <v>7</v>
      </c>
      <c r="D3" s="38" t="s">
        <v>10</v>
      </c>
      <c r="E3" s="38" t="s">
        <v>4</v>
      </c>
      <c r="F3" s="38" t="s">
        <v>8</v>
      </c>
      <c r="G3" s="38" t="s">
        <v>11</v>
      </c>
      <c r="H3" s="38"/>
      <c r="I3" s="38"/>
      <c r="J3" s="38"/>
      <c r="K3" s="38" t="s">
        <v>133</v>
      </c>
      <c r="L3" s="38" t="s">
        <v>3</v>
      </c>
      <c r="M3" s="40" t="s">
        <v>2</v>
      </c>
    </row>
    <row r="4" spans="1:13" s="1" customFormat="1" ht="21" customHeight="1" thickBot="1">
      <c r="A4" s="51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5</v>
      </c>
      <c r="K4" s="39"/>
      <c r="L4" s="39"/>
      <c r="M4" s="41"/>
    </row>
    <row r="5" spans="1:12" ht="15">
      <c r="A5" s="42" t="s">
        <v>181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12" t="s">
        <v>431</v>
      </c>
      <c r="B6" s="12" t="s">
        <v>432</v>
      </c>
      <c r="C6" s="12" t="s">
        <v>433</v>
      </c>
      <c r="D6" s="12" t="str">
        <f>"0,9693"</f>
        <v>0,9693</v>
      </c>
      <c r="E6" s="12" t="s">
        <v>19</v>
      </c>
      <c r="F6" s="12" t="s">
        <v>47</v>
      </c>
      <c r="G6" s="14" t="s">
        <v>60</v>
      </c>
      <c r="H6" s="13" t="s">
        <v>61</v>
      </c>
      <c r="I6" s="13" t="s">
        <v>561</v>
      </c>
      <c r="J6" s="14"/>
      <c r="K6" s="12" t="str">
        <f>"72,5"</f>
        <v>72,5</v>
      </c>
      <c r="L6" s="13" t="str">
        <f>"70,2779"</f>
        <v>70,2779</v>
      </c>
      <c r="M6" s="12" t="s">
        <v>118</v>
      </c>
    </row>
    <row r="8" spans="5:6" ht="15">
      <c r="E8" s="15" t="s">
        <v>77</v>
      </c>
      <c r="F8" s="4" t="s">
        <v>664</v>
      </c>
    </row>
    <row r="9" spans="5:6" ht="15">
      <c r="E9" s="15" t="s">
        <v>78</v>
      </c>
      <c r="F9" s="4" t="s">
        <v>665</v>
      </c>
    </row>
    <row r="10" spans="5:6" ht="15">
      <c r="E10" s="15" t="s">
        <v>79</v>
      </c>
      <c r="F10" s="4" t="s">
        <v>666</v>
      </c>
    </row>
    <row r="11" spans="5:6" ht="15">
      <c r="E11" s="15" t="s">
        <v>80</v>
      </c>
      <c r="F11" s="4" t="s">
        <v>667</v>
      </c>
    </row>
    <row r="12" spans="5:6" ht="15">
      <c r="E12" s="15" t="s">
        <v>80</v>
      </c>
      <c r="F12" s="4" t="s">
        <v>669</v>
      </c>
    </row>
    <row r="13" spans="5:6" ht="15">
      <c r="E13" s="15" t="s">
        <v>81</v>
      </c>
      <c r="F13" s="4" t="s">
        <v>668</v>
      </c>
    </row>
    <row r="14" ht="15">
      <c r="E14" s="15"/>
    </row>
    <row r="16" spans="1:2" ht="18">
      <c r="A16" s="16" t="s">
        <v>82</v>
      </c>
      <c r="B16" s="16"/>
    </row>
    <row r="17" spans="1:2" ht="15">
      <c r="A17" s="17" t="s">
        <v>83</v>
      </c>
      <c r="B17" s="17"/>
    </row>
    <row r="18" spans="1:2" ht="14.25">
      <c r="A18" s="19"/>
      <c r="B18" s="20" t="s">
        <v>93</v>
      </c>
    </row>
    <row r="19" spans="1:5" ht="15">
      <c r="A19" s="21" t="s">
        <v>85</v>
      </c>
      <c r="B19" s="21" t="s">
        <v>86</v>
      </c>
      <c r="C19" s="21" t="s">
        <v>87</v>
      </c>
      <c r="D19" s="21" t="s">
        <v>88</v>
      </c>
      <c r="E19" s="21" t="s">
        <v>89</v>
      </c>
    </row>
    <row r="20" spans="1:5" ht="12.75">
      <c r="A20" s="18" t="s">
        <v>430</v>
      </c>
      <c r="B20" s="4" t="s">
        <v>93</v>
      </c>
      <c r="C20" s="4" t="s">
        <v>331</v>
      </c>
      <c r="D20" s="4" t="s">
        <v>561</v>
      </c>
      <c r="E20" s="22" t="s">
        <v>562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4">
      <selection activeCell="F14" sqref="F14:F19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44" t="s">
        <v>539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1.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0</v>
      </c>
      <c r="B3" s="52" t="s">
        <v>6</v>
      </c>
      <c r="C3" s="52" t="s">
        <v>7</v>
      </c>
      <c r="D3" s="38" t="s">
        <v>10</v>
      </c>
      <c r="E3" s="38" t="s">
        <v>4</v>
      </c>
      <c r="F3" s="38" t="s">
        <v>8</v>
      </c>
      <c r="G3" s="38" t="s">
        <v>13</v>
      </c>
      <c r="H3" s="38"/>
      <c r="I3" s="38"/>
      <c r="J3" s="38"/>
      <c r="K3" s="38" t="s">
        <v>133</v>
      </c>
      <c r="L3" s="38" t="s">
        <v>3</v>
      </c>
      <c r="M3" s="40" t="s">
        <v>2</v>
      </c>
    </row>
    <row r="4" spans="1:13" s="1" customFormat="1" ht="21" customHeight="1" thickBot="1">
      <c r="A4" s="51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5</v>
      </c>
      <c r="K4" s="39"/>
      <c r="L4" s="39"/>
      <c r="M4" s="41"/>
    </row>
    <row r="5" spans="1:12" ht="15">
      <c r="A5" s="42" t="s">
        <v>155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ht="12.75">
      <c r="A6" s="12" t="s">
        <v>541</v>
      </c>
      <c r="B6" s="12" t="s">
        <v>542</v>
      </c>
      <c r="C6" s="12" t="s">
        <v>543</v>
      </c>
      <c r="D6" s="12" t="str">
        <f>"0,5982"</f>
        <v>0,5982</v>
      </c>
      <c r="E6" s="12" t="s">
        <v>19</v>
      </c>
      <c r="F6" s="12" t="s">
        <v>282</v>
      </c>
      <c r="G6" s="13" t="s">
        <v>544</v>
      </c>
      <c r="H6" s="13" t="s">
        <v>545</v>
      </c>
      <c r="I6" s="13" t="s">
        <v>100</v>
      </c>
      <c r="J6" s="14"/>
      <c r="K6" s="12" t="str">
        <f>"250,0"</f>
        <v>250,0</v>
      </c>
      <c r="L6" s="13" t="str">
        <f>"149,5500"</f>
        <v>149,5500</v>
      </c>
      <c r="M6" s="12" t="s">
        <v>76</v>
      </c>
    </row>
    <row r="8" spans="1:12" ht="15">
      <c r="A8" s="53" t="s">
        <v>119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3" ht="12.75">
      <c r="A9" s="12" t="s">
        <v>547</v>
      </c>
      <c r="B9" s="12" t="s">
        <v>548</v>
      </c>
      <c r="C9" s="12" t="s">
        <v>549</v>
      </c>
      <c r="D9" s="12" t="str">
        <f>"0,5758"</f>
        <v>0,5758</v>
      </c>
      <c r="E9" s="12" t="s">
        <v>19</v>
      </c>
      <c r="F9" s="12" t="s">
        <v>282</v>
      </c>
      <c r="G9" s="13" t="s">
        <v>427</v>
      </c>
      <c r="H9" s="13" t="s">
        <v>544</v>
      </c>
      <c r="I9" s="14" t="s">
        <v>494</v>
      </c>
      <c r="J9" s="14"/>
      <c r="K9" s="12" t="str">
        <f>"235,0"</f>
        <v>235,0</v>
      </c>
      <c r="L9" s="13" t="str">
        <f>"135,3130"</f>
        <v>135,3130</v>
      </c>
      <c r="M9" s="12" t="s">
        <v>76</v>
      </c>
    </row>
    <row r="11" spans="1:12" ht="15">
      <c r="A11" s="53" t="s">
        <v>65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3" ht="12.75">
      <c r="A12" s="12" t="s">
        <v>551</v>
      </c>
      <c r="B12" s="12" t="s">
        <v>552</v>
      </c>
      <c r="C12" s="12" t="s">
        <v>553</v>
      </c>
      <c r="D12" s="12" t="str">
        <f>"0,5384"</f>
        <v>0,5384</v>
      </c>
      <c r="E12" s="12" t="s">
        <v>34</v>
      </c>
      <c r="F12" s="12" t="s">
        <v>35</v>
      </c>
      <c r="G12" s="13" t="s">
        <v>73</v>
      </c>
      <c r="H12" s="13" t="s">
        <v>554</v>
      </c>
      <c r="I12" s="14"/>
      <c r="J12" s="14"/>
      <c r="K12" s="12" t="str">
        <f>"302,5"</f>
        <v>302,5</v>
      </c>
      <c r="L12" s="13" t="str">
        <f>"162,8660"</f>
        <v>162,8660</v>
      </c>
      <c r="M12" s="12" t="s">
        <v>76</v>
      </c>
    </row>
    <row r="14" spans="5:6" ht="15">
      <c r="E14" s="15" t="s">
        <v>77</v>
      </c>
      <c r="F14" s="4" t="s">
        <v>664</v>
      </c>
    </row>
    <row r="15" spans="5:6" ht="15">
      <c r="E15" s="15" t="s">
        <v>78</v>
      </c>
      <c r="F15" s="4" t="s">
        <v>665</v>
      </c>
    </row>
    <row r="16" spans="5:6" ht="15">
      <c r="E16" s="15" t="s">
        <v>79</v>
      </c>
      <c r="F16" s="4" t="s">
        <v>666</v>
      </c>
    </row>
    <row r="17" spans="5:6" ht="15">
      <c r="E17" s="15" t="s">
        <v>80</v>
      </c>
      <c r="F17" s="4" t="s">
        <v>667</v>
      </c>
    </row>
    <row r="18" spans="5:6" ht="15">
      <c r="E18" s="15" t="s">
        <v>80</v>
      </c>
      <c r="F18" s="4" t="s">
        <v>669</v>
      </c>
    </row>
    <row r="19" spans="5:6" ht="15">
      <c r="E19" s="15" t="s">
        <v>81</v>
      </c>
      <c r="F19" s="4" t="s">
        <v>668</v>
      </c>
    </row>
    <row r="20" ht="15">
      <c r="E20" s="15"/>
    </row>
    <row r="22" spans="1:2" ht="18">
      <c r="A22" s="16" t="s">
        <v>82</v>
      </c>
      <c r="B22" s="16"/>
    </row>
    <row r="23" spans="1:2" ht="15">
      <c r="A23" s="17" t="s">
        <v>96</v>
      </c>
      <c r="B23" s="17"/>
    </row>
    <row r="24" spans="1:2" ht="14.25">
      <c r="A24" s="19"/>
      <c r="B24" s="20" t="s">
        <v>97</v>
      </c>
    </row>
    <row r="25" spans="1:5" ht="15">
      <c r="A25" s="21" t="s">
        <v>85</v>
      </c>
      <c r="B25" s="21" t="s">
        <v>86</v>
      </c>
      <c r="C25" s="21" t="s">
        <v>87</v>
      </c>
      <c r="D25" s="21" t="s">
        <v>88</v>
      </c>
      <c r="E25" s="21" t="s">
        <v>89</v>
      </c>
    </row>
    <row r="26" spans="1:5" ht="12.75">
      <c r="A26" s="18" t="s">
        <v>546</v>
      </c>
      <c r="B26" s="4" t="s">
        <v>339</v>
      </c>
      <c r="C26" s="4" t="s">
        <v>27</v>
      </c>
      <c r="D26" s="4" t="s">
        <v>544</v>
      </c>
      <c r="E26" s="22" t="s">
        <v>555</v>
      </c>
    </row>
    <row r="28" spans="1:2" ht="14.25">
      <c r="A28" s="19"/>
      <c r="B28" s="20" t="s">
        <v>93</v>
      </c>
    </row>
    <row r="29" spans="1:5" ht="15">
      <c r="A29" s="21" t="s">
        <v>85</v>
      </c>
      <c r="B29" s="21" t="s">
        <v>86</v>
      </c>
      <c r="C29" s="21" t="s">
        <v>87</v>
      </c>
      <c r="D29" s="21" t="s">
        <v>88</v>
      </c>
      <c r="E29" s="21" t="s">
        <v>89</v>
      </c>
    </row>
    <row r="30" spans="1:5" ht="12.75">
      <c r="A30" s="18" t="s">
        <v>550</v>
      </c>
      <c r="B30" s="4" t="s">
        <v>93</v>
      </c>
      <c r="C30" s="4" t="s">
        <v>104</v>
      </c>
      <c r="D30" s="4" t="s">
        <v>554</v>
      </c>
      <c r="E30" s="22" t="s">
        <v>556</v>
      </c>
    </row>
    <row r="31" spans="1:5" ht="12.75">
      <c r="A31" s="18" t="s">
        <v>540</v>
      </c>
      <c r="B31" s="4" t="s">
        <v>93</v>
      </c>
      <c r="C31" s="4" t="s">
        <v>36</v>
      </c>
      <c r="D31" s="4" t="s">
        <v>100</v>
      </c>
      <c r="E31" s="22" t="s">
        <v>557</v>
      </c>
    </row>
    <row r="32" spans="1:5" ht="12.75">
      <c r="A32" s="18" t="s">
        <v>558</v>
      </c>
      <c r="B32" s="4" t="s">
        <v>93</v>
      </c>
      <c r="C32" s="4" t="s">
        <v>27</v>
      </c>
      <c r="D32" s="4" t="s">
        <v>391</v>
      </c>
      <c r="E32" s="22" t="s">
        <v>559</v>
      </c>
    </row>
    <row r="34" spans="1:2" ht="14.25">
      <c r="A34" s="19"/>
      <c r="B34" s="20" t="s">
        <v>164</v>
      </c>
    </row>
    <row r="35" spans="1:5" ht="15">
      <c r="A35" s="21" t="s">
        <v>85</v>
      </c>
      <c r="B35" s="21" t="s">
        <v>86</v>
      </c>
      <c r="C35" s="21" t="s">
        <v>87</v>
      </c>
      <c r="D35" s="21" t="s">
        <v>88</v>
      </c>
      <c r="E35" s="21" t="s">
        <v>89</v>
      </c>
    </row>
    <row r="36" spans="1:5" ht="12.75">
      <c r="A36" s="18" t="s">
        <v>546</v>
      </c>
      <c r="B36" s="4" t="s">
        <v>339</v>
      </c>
      <c r="C36" s="4" t="s">
        <v>27</v>
      </c>
      <c r="D36" s="4" t="s">
        <v>544</v>
      </c>
      <c r="E36" s="22" t="s">
        <v>555</v>
      </c>
    </row>
  </sheetData>
  <sheetProtection/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2018-11-30T14:45:13Z</dcterms:modified>
  <cp:category/>
  <cp:version/>
  <cp:contentType/>
  <cp:contentStatus/>
</cp:coreProperties>
</file>