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45" activeTab="45"/>
  </bookViews>
  <sheets>
    <sheet name="Лист59" sheetId="1" r:id="rId1"/>
    <sheet name="РЖ любители 150 кг." sheetId="2" r:id="rId2"/>
    <sheet name="РЖ любители 125 кг." sheetId="3" r:id="rId3"/>
    <sheet name="РЖ любители 100 кг." sheetId="4" r:id="rId4"/>
    <sheet name="РЖ любители 75 кг." sheetId="5" r:id="rId5"/>
    <sheet name="РЖ любители 55 кг." sheetId="6" r:id="rId6"/>
    <sheet name="РЖ любители 35 кг." sheetId="7" r:id="rId7"/>
    <sheet name="РЖ Проф 150 кг." sheetId="8" r:id="rId8"/>
    <sheet name="РЖ Проф 125 кг." sheetId="9" r:id="rId9"/>
    <sheet name="РЖ Проф 100 кг." sheetId="10" r:id="rId10"/>
    <sheet name="РЖ Проф 75 кг." sheetId="11" r:id="rId11"/>
    <sheet name="16-45-33РЖ Проф 55 кг." sheetId="12" r:id="rId12"/>
    <sheet name="РЖ Проф 55 кг." sheetId="13" r:id="rId13"/>
    <sheet name="Проф. народный жим 1_2 вес" sheetId="14" r:id="rId14"/>
    <sheet name="Проф. народный жим 1 вес" sheetId="15" r:id="rId15"/>
    <sheet name="Люб. народный жим 1_2 вес" sheetId="16" r:id="rId16"/>
    <sheet name="Люб. народный жим 1 вес" sheetId="17" r:id="rId17"/>
    <sheet name="Пауэрспорт Профессионалы" sheetId="18" r:id="rId18"/>
    <sheet name="Пауэрспорт Любители" sheetId="19" r:id="rId19"/>
    <sheet name="Бицепс Профессионалы" sheetId="20" r:id="rId20"/>
    <sheet name="Бицепс Любители" sheetId="21" r:id="rId21"/>
    <sheet name="Жим стоя Профессионалы" sheetId="22" r:id="rId22"/>
    <sheet name="Жим стоя Любители" sheetId="23" r:id="rId23"/>
    <sheet name="Двоеборье проф." sheetId="24" r:id="rId24"/>
    <sheet name="Двоеборье люб" sheetId="25" r:id="rId25"/>
    <sheet name="ПРО присед софт экип." sheetId="26" r:id="rId26"/>
    <sheet name="Люб. присед софт экип." sheetId="27" r:id="rId27"/>
    <sheet name="ПРО присед б.э." sheetId="28" r:id="rId28"/>
    <sheet name="Люб. присед б.э." sheetId="29" r:id="rId29"/>
    <sheet name="ПРО присед 1.слой" sheetId="30" r:id="rId30"/>
    <sheet name="Люб. присед 1.слой" sheetId="31" r:id="rId31"/>
    <sheet name="ПРО присед мн.слой" sheetId="32" r:id="rId32"/>
    <sheet name="Люб. присед мн.слой" sheetId="33" r:id="rId33"/>
    <sheet name="ПРО тяга софт экип." sheetId="34" r:id="rId34"/>
    <sheet name="Люб. тяга софт экип." sheetId="35" r:id="rId35"/>
    <sheet name="ПРО тяга б.э." sheetId="36" r:id="rId36"/>
    <sheet name="Люб. тяга б.э." sheetId="37" r:id="rId37"/>
    <sheet name="ПРО тяга 1.слой" sheetId="38" r:id="rId38"/>
    <sheet name="Люб. тяга 1.слой" sheetId="39" r:id="rId39"/>
    <sheet name="ПРО тяга мн.слой" sheetId="40" r:id="rId40"/>
    <sheet name="Люб. тяга мн.слой" sheetId="41" r:id="rId41"/>
    <sheet name="ПРО жим софт экип. 3сл." sheetId="42" r:id="rId42"/>
    <sheet name="ПРО жим софт экип." sheetId="43" r:id="rId43"/>
    <sheet name="Люб. жим софт экип." sheetId="44" r:id="rId44"/>
    <sheet name="ПРО жим б.э." sheetId="45" r:id="rId45"/>
    <sheet name="Люб. жим б.э." sheetId="46" r:id="rId46"/>
    <sheet name="ПРО жим 1.слой" sheetId="47" r:id="rId47"/>
    <sheet name="Люб. жим 1.слой" sheetId="48" r:id="rId48"/>
    <sheet name="ПРО жим мн.слой" sheetId="49" r:id="rId49"/>
    <sheet name="Люб. жим мн.слой" sheetId="50" r:id="rId50"/>
    <sheet name="ПРО Военный жим" sheetId="51" r:id="rId51"/>
    <sheet name="Люб. Военный жим" sheetId="52" r:id="rId52"/>
    <sheet name="ПРО ПЛ. софт экип." sheetId="53" r:id="rId53"/>
    <sheet name="Люб. ПЛ. софт экип." sheetId="54" r:id="rId54"/>
    <sheet name="ПРО ПЛ. б.э." sheetId="55" r:id="rId55"/>
    <sheet name="Люб. ПЛ. б.э." sheetId="56" r:id="rId56"/>
    <sheet name="ПРО ПЛ. 1.слой" sheetId="57" r:id="rId57"/>
    <sheet name="Люб. ПЛ. 1.слой" sheetId="58" r:id="rId58"/>
    <sheet name="ПРО ПЛ. мн.слой" sheetId="59" r:id="rId59"/>
    <sheet name="Люб. ПЛ. мн.слой" sheetId="60" r:id="rId60"/>
  </sheets>
  <definedNames/>
  <calcPr fullCalcOnLoad="1" refMode="R1C1"/>
</workbook>
</file>

<file path=xl/sharedStrings.xml><?xml version="1.0" encoding="utf-8"?>
<sst xmlns="http://schemas.openxmlformats.org/spreadsheetml/2006/main" count="4324" uniqueCount="1146">
  <si>
    <t>Командный Чемпионат России по рж
Русский жим любители 35 кг.
Краснодар/Краснодарский край 21 - 23 декабря 2018 г.</t>
  </si>
  <si>
    <t>Командный Чемпионат России по рж
Русский жим любители 55 кг.
Краснодар/Краснодарский край 21 - 23 декабря 2018 г.</t>
  </si>
  <si>
    <t>Андрюхин Денис</t>
  </si>
  <si>
    <t>1. Андрюхин Денис</t>
  </si>
  <si>
    <t>Юноши 18 - 19 (16.10.2000)/18</t>
  </si>
  <si>
    <t>80,30</t>
  </si>
  <si>
    <t>42,0</t>
  </si>
  <si>
    <t>Живоглядов Евгений</t>
  </si>
  <si>
    <t>1. Живоглядов Евгений</t>
  </si>
  <si>
    <t>Открытая (06.07.1989)/29</t>
  </si>
  <si>
    <t xml:space="preserve">rhino don </t>
  </si>
  <si>
    <t>62,0</t>
  </si>
  <si>
    <t xml:space="preserve">кобелинский </t>
  </si>
  <si>
    <t>Дорохов Евгений</t>
  </si>
  <si>
    <t>2. Дорохов Евгений</t>
  </si>
  <si>
    <t>57,0</t>
  </si>
  <si>
    <t>2310,0</t>
  </si>
  <si>
    <t>28,7671</t>
  </si>
  <si>
    <t>3135,0</t>
  </si>
  <si>
    <t>38,9440</t>
  </si>
  <si>
    <t>38,0580</t>
  </si>
  <si>
    <t>Командный Чемпионат России по рж
Русский жим любители 75 кг.
Краснодар/Краснодарский край 21 - 23 декабря 2018 г.</t>
  </si>
  <si>
    <t>Кобилинский Демьян</t>
  </si>
  <si>
    <t>1. Кобилинский Демьян</t>
  </si>
  <si>
    <t>Открытая (12.03.1991)/27</t>
  </si>
  <si>
    <t>97,90</t>
  </si>
  <si>
    <t>49,0</t>
  </si>
  <si>
    <t>3675,0</t>
  </si>
  <si>
    <t>37,5383</t>
  </si>
  <si>
    <t>Командный Чемпионат России по рж
Русский жим любители 100 кг.
Краснодар/Краснодарский край 21 - 23 декабря 2018 г.</t>
  </si>
  <si>
    <t>Командный Чемпионат России по рж
Русский жим любители 125 кг.
Краснодар/Краснодарский край 21 - 23 декабря 2018 г.</t>
  </si>
  <si>
    <t>Командный Чемпионат России по рж
Русский жим любители 150 кг.
Краснодар/Краснодарский край 21 - 23 декабря 2018 г.</t>
  </si>
  <si>
    <t>Батайск</t>
  </si>
  <si>
    <t>Легион</t>
  </si>
  <si>
    <t>Авангард</t>
  </si>
  <si>
    <t>Черкесск</t>
  </si>
  <si>
    <t>1. Ушакова Ольга</t>
  </si>
  <si>
    <t>Чемпион</t>
  </si>
  <si>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</si>
  <si>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</si>
  <si>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</si>
  <si>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</si>
  <si>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</si>
  <si>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</si>
  <si>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</si>
  <si>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</si>
  <si>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</si>
  <si>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</si>
  <si>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</si>
  <si>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</si>
  <si>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</si>
  <si>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Командный Чемпионат России по пауэрлифтингу и отдельным движениям
Любители пауэрлифтинг в многослойной экипировке
Краснодар/Краснодарский край 21 - 23 декабря 2018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</si>
  <si>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</si>
  <si>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</si>
  <si>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</si>
  <si>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</si>
  <si>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</si>
  <si>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</si>
  <si>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Командный Чемпионат России по пауэрлифтингу и отдельным движениям
ПРО пауэрлифтинг в многослойной экипировке
Краснодар/Краснодарский край 21 - 23 декабря 2018 г.</t>
  </si>
  <si>
    <t>Shv/Mel</t>
  </si>
  <si>
    <t>Приседание</t>
  </si>
  <si>
    <t>Жим лёжа</t>
  </si>
  <si>
    <t>Становая тяга</t>
  </si>
  <si>
    <t>ВЕСОВАЯ КАТЕГОРИЯ   110</t>
  </si>
  <si>
    <t>Игошин Сергей</t>
  </si>
  <si>
    <t>1. Игошин Сергей</t>
  </si>
  <si>
    <t>Открытая (04.11.1986)/32</t>
  </si>
  <si>
    <t>101,20</t>
  </si>
  <si>
    <t xml:space="preserve">Лично </t>
  </si>
  <si>
    <t xml:space="preserve">Горячий Ключ/Краснодарский край </t>
  </si>
  <si>
    <t>260,0w</t>
  </si>
  <si>
    <t>270,0</t>
  </si>
  <si>
    <t>130,0w</t>
  </si>
  <si>
    <t>160,0w</t>
  </si>
  <si>
    <t>175,0w</t>
  </si>
  <si>
    <t>250,0w</t>
  </si>
  <si>
    <t>265,0w</t>
  </si>
  <si>
    <t>272,5</t>
  </si>
  <si>
    <t xml:space="preserve">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</si>
  <si>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</si>
  <si>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</si>
  <si>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</si>
  <si>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</si>
  <si>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</si>
  <si>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</si>
  <si>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</si>
  <si>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110,0</t>
  </si>
  <si>
    <t>710,0</t>
  </si>
  <si>
    <t>391,4230</t>
  </si>
  <si>
    <t>Командный Чемпионат России по пауэрлифтингу и отдельным движениям
Любители пауэрлифтинг в однослойной экипировке
Краснодар/Краснодарский край 21 - 23 декабря 2018 г.</t>
  </si>
  <si>
    <t>Командный Чемпионат России по пауэрлифтингу и отдельным движениям
ПРО пауэрлифтинг в однослойной экипировке
Краснодар/Краснодарский край 21 - 23 декабря 2018 г.</t>
  </si>
  <si>
    <t>Командный Чемпионат России по пауэрлифтингу и отдельным движениям
Любители пауэрлифтинг без экипировки
Краснодар/Краснодарский край 21 - 23 декабря 2018 г.</t>
  </si>
  <si>
    <t>ВЕСОВАЯ КАТЕГОРИЯ   48</t>
  </si>
  <si>
    <t>Севостьянова Анна</t>
  </si>
  <si>
    <t>1. Севостьянова Анна</t>
  </si>
  <si>
    <t>Юниорки 20 - 23 (01.10.1995)/23</t>
  </si>
  <si>
    <t>47,40</t>
  </si>
  <si>
    <t xml:space="preserve">центр тяжести </t>
  </si>
  <si>
    <t xml:space="preserve">Усть-Лабинск/Краснодарский край </t>
  </si>
  <si>
    <t>65,0</t>
  </si>
  <si>
    <t>70,0</t>
  </si>
  <si>
    <t>75,0</t>
  </si>
  <si>
    <t>25,0</t>
  </si>
  <si>
    <t>30,0</t>
  </si>
  <si>
    <t>35,0</t>
  </si>
  <si>
    <t>82,5</t>
  </si>
  <si>
    <t xml:space="preserve">новосельцев </t>
  </si>
  <si>
    <t>ВЕСОВАЯ КАТЕГОРИЯ   52</t>
  </si>
  <si>
    <t>Бабакина Юлия</t>
  </si>
  <si>
    <t>1. Бабакина Юлия</t>
  </si>
  <si>
    <t>Девушки 0-13 (12.10.2005)/13</t>
  </si>
  <si>
    <t>50,70</t>
  </si>
  <si>
    <t xml:space="preserve">авангард </t>
  </si>
  <si>
    <t xml:space="preserve">Славянск-на-Кубани/Краснодарский край </t>
  </si>
  <si>
    <t>45,0</t>
  </si>
  <si>
    <t>52,5</t>
  </si>
  <si>
    <t>57,5</t>
  </si>
  <si>
    <t>32,5</t>
  </si>
  <si>
    <t>62,5</t>
  </si>
  <si>
    <t xml:space="preserve">Шеховцов </t>
  </si>
  <si>
    <t>Вьюхина Надежда</t>
  </si>
  <si>
    <t>1. Вьюхина Надежда</t>
  </si>
  <si>
    <t>Открытая (17.03.1985)/33</t>
  </si>
  <si>
    <t>51,00</t>
  </si>
  <si>
    <t xml:space="preserve">Light Fit </t>
  </si>
  <si>
    <t xml:space="preserve">Краснодар/Краснодарский край </t>
  </si>
  <si>
    <t>85,0</t>
  </si>
  <si>
    <t>92,5</t>
  </si>
  <si>
    <t>40,0</t>
  </si>
  <si>
    <t>47,5</t>
  </si>
  <si>
    <t>50,0</t>
  </si>
  <si>
    <t>90,0</t>
  </si>
  <si>
    <t>95,0</t>
  </si>
  <si>
    <t>100,0</t>
  </si>
  <si>
    <t>ВЕСОВАЯ КАТЕГОРИЯ   60</t>
  </si>
  <si>
    <t>Слобожанинова Светлана</t>
  </si>
  <si>
    <t>1. Слобожанинова Светлана</t>
  </si>
  <si>
    <t>Открытая (27.04.1978)/40</t>
  </si>
  <si>
    <t>59,50</t>
  </si>
  <si>
    <t xml:space="preserve">GELENDGYM </t>
  </si>
  <si>
    <t xml:space="preserve">Геленджик/Краснодарский край </t>
  </si>
  <si>
    <t>105,0</t>
  </si>
  <si>
    <t>97,5</t>
  </si>
  <si>
    <t>102,5</t>
  </si>
  <si>
    <t>ВЕСОВАЯ КАТЕГОРИЯ   67.5</t>
  </si>
  <si>
    <t>Евтушенко Елена</t>
  </si>
  <si>
    <t>1. Евтушенко Елена</t>
  </si>
  <si>
    <t>Открытая (15.09.1986)/32</t>
  </si>
  <si>
    <t>66,30</t>
  </si>
  <si>
    <t xml:space="preserve">арена </t>
  </si>
  <si>
    <t>60,0</t>
  </si>
  <si>
    <t>107,5</t>
  </si>
  <si>
    <t>Ушакова Ольга</t>
  </si>
  <si>
    <t>2. Ушакова Ольга</t>
  </si>
  <si>
    <t>Открытая (22.03.1974)/44</t>
  </si>
  <si>
    <t>66,20</t>
  </si>
  <si>
    <t xml:space="preserve">Москва </t>
  </si>
  <si>
    <t>55,0</t>
  </si>
  <si>
    <t>Мастера 40 - 44 (22.03.1974)/44</t>
  </si>
  <si>
    <t>ВЕСОВАЯ КАТЕГОРИЯ   75</t>
  </si>
  <si>
    <t>Латышева Анна</t>
  </si>
  <si>
    <t>1. Латышева Анна</t>
  </si>
  <si>
    <t>Открытая (22.12.1992)/25</t>
  </si>
  <si>
    <t>71,40</t>
  </si>
  <si>
    <t xml:space="preserve">спорт лайф </t>
  </si>
  <si>
    <t xml:space="preserve">Кропоткин/Краснодарский край </t>
  </si>
  <si>
    <t>115,0</t>
  </si>
  <si>
    <t>117,5</t>
  </si>
  <si>
    <t>77,5</t>
  </si>
  <si>
    <t>130,0</t>
  </si>
  <si>
    <t>140,0</t>
  </si>
  <si>
    <t>145,0</t>
  </si>
  <si>
    <t>Шибаева Ольга</t>
  </si>
  <si>
    <t>2. Шибаева Ольга</t>
  </si>
  <si>
    <t>Открытая (11.06.1976)/42</t>
  </si>
  <si>
    <t>73,20</t>
  </si>
  <si>
    <t>122,5</t>
  </si>
  <si>
    <t xml:space="preserve">Лянгузов </t>
  </si>
  <si>
    <t>Убейконь Артем</t>
  </si>
  <si>
    <t>1. Убейконь Артем</t>
  </si>
  <si>
    <t>Юноши 14-15 (17.01.2003)/15</t>
  </si>
  <si>
    <t>60,00</t>
  </si>
  <si>
    <t xml:space="preserve">ДЮСШ Мирнинский район </t>
  </si>
  <si>
    <t xml:space="preserve">Мирный/Якутия </t>
  </si>
  <si>
    <t>127,5</t>
  </si>
  <si>
    <t>135,0</t>
  </si>
  <si>
    <t>80,0</t>
  </si>
  <si>
    <t>165,0</t>
  </si>
  <si>
    <t>175,0</t>
  </si>
  <si>
    <t>177,5</t>
  </si>
  <si>
    <t xml:space="preserve">Берлизов М </t>
  </si>
  <si>
    <t>Тхагалегов Индрис</t>
  </si>
  <si>
    <t>1. Тхагалегов Индрис</t>
  </si>
  <si>
    <t>Юноши 14-15 (16.08.2003)/15</t>
  </si>
  <si>
    <t>72,50</t>
  </si>
  <si>
    <t xml:space="preserve">Легион </t>
  </si>
  <si>
    <t xml:space="preserve">Нальчик/Кабардино-Балкария </t>
  </si>
  <si>
    <t>150,0</t>
  </si>
  <si>
    <t>155,0</t>
  </si>
  <si>
    <t>Нагорный Андрей</t>
  </si>
  <si>
    <t>1. Нагорный Андрей</t>
  </si>
  <si>
    <t>Открытая (01.09.1990)/28</t>
  </si>
  <si>
    <t>75,00</t>
  </si>
  <si>
    <t xml:space="preserve">фит жим </t>
  </si>
  <si>
    <t xml:space="preserve">Ейск/Краснодарский край </t>
  </si>
  <si>
    <t>160,0</t>
  </si>
  <si>
    <t>170,0</t>
  </si>
  <si>
    <t>142,5</t>
  </si>
  <si>
    <t>147,5</t>
  </si>
  <si>
    <t>205,0</t>
  </si>
  <si>
    <t>220,0</t>
  </si>
  <si>
    <t>Сметанка Андрей</t>
  </si>
  <si>
    <t>2. Сметанка Андрей</t>
  </si>
  <si>
    <t>Открытая (18.11.1986)/32</t>
  </si>
  <si>
    <t>ВЕСОВАЯ КАТЕГОРИЯ   82.5</t>
  </si>
  <si>
    <t>Невзоров Алексей</t>
  </si>
  <si>
    <t>1. Невзоров Алексей</t>
  </si>
  <si>
    <t>Юноши 18 - 19 (10.11.2000)/18</t>
  </si>
  <si>
    <t>79,70</t>
  </si>
  <si>
    <t>180,0</t>
  </si>
  <si>
    <t>200,0</t>
  </si>
  <si>
    <t>210,0</t>
  </si>
  <si>
    <t>Юрьев Александр</t>
  </si>
  <si>
    <t>1. Юрьев Александр</t>
  </si>
  <si>
    <t>Открытая (11.10.1981)/37</t>
  </si>
  <si>
    <t>82,00</t>
  </si>
  <si>
    <t xml:space="preserve">Пересвет </t>
  </si>
  <si>
    <t xml:space="preserve">Ставрополь/Ставропольский край </t>
  </si>
  <si>
    <t>202,5</t>
  </si>
  <si>
    <t>120,0</t>
  </si>
  <si>
    <t>132,5</t>
  </si>
  <si>
    <t>227,5</t>
  </si>
  <si>
    <t xml:space="preserve">Коршунов </t>
  </si>
  <si>
    <t>Новак Денис</t>
  </si>
  <si>
    <t>2. Новак Денис</t>
  </si>
  <si>
    <t>Открытая (25.05.1990)/28</t>
  </si>
  <si>
    <t>80,50</t>
  </si>
  <si>
    <t xml:space="preserve">Титан джугба </t>
  </si>
  <si>
    <t xml:space="preserve">Туапсе/Краснодарский край </t>
  </si>
  <si>
    <t>190,0</t>
  </si>
  <si>
    <t>195,0</t>
  </si>
  <si>
    <t>Артамонов Павел</t>
  </si>
  <si>
    <t>3. Артамонов Павел</t>
  </si>
  <si>
    <t>Открытая (12.10.1981)/37</t>
  </si>
  <si>
    <t>80,70</t>
  </si>
  <si>
    <t xml:space="preserve">спорт сити </t>
  </si>
  <si>
    <t>157,5</t>
  </si>
  <si>
    <t>ВЕСОВАЯ КАТЕГОРИЯ   90</t>
  </si>
  <si>
    <t>Цыганков Алексей</t>
  </si>
  <si>
    <t>1. Цыганков Алексей</t>
  </si>
  <si>
    <t>Открытая (19.11.1987)/31</t>
  </si>
  <si>
    <t>89,30</t>
  </si>
  <si>
    <t>230,0</t>
  </si>
  <si>
    <t>245,0</t>
  </si>
  <si>
    <t>255,0</t>
  </si>
  <si>
    <t>Саарян Ишхан</t>
  </si>
  <si>
    <t>2. Саарян Ишхан</t>
  </si>
  <si>
    <t>Открытая (06.03.1994)/24</t>
  </si>
  <si>
    <t>83,70</t>
  </si>
  <si>
    <t>Беляков Игорь</t>
  </si>
  <si>
    <t>3. Беляков Игорь</t>
  </si>
  <si>
    <t>Открытая (15.10.1991)/27</t>
  </si>
  <si>
    <t>89,60</t>
  </si>
  <si>
    <t>Шпаковский Андрей</t>
  </si>
  <si>
    <t>1. Шпаковский Андрей</t>
  </si>
  <si>
    <t>Мастера 45 - 49 (09.05.1972)/46</t>
  </si>
  <si>
    <t>84,40</t>
  </si>
  <si>
    <t>112,5</t>
  </si>
  <si>
    <t>125,0</t>
  </si>
  <si>
    <t>152,5</t>
  </si>
  <si>
    <t>ВЕСОВАЯ КАТЕГОРИЯ   100</t>
  </si>
  <si>
    <t>Сидоров Матвей</t>
  </si>
  <si>
    <t>1. Сидоров Матвей</t>
  </si>
  <si>
    <t>Юноши 16 - 17 (17.04.2001)/17</t>
  </si>
  <si>
    <t>97,00</t>
  </si>
  <si>
    <t xml:space="preserve">Сочи/Краснодарский край </t>
  </si>
  <si>
    <t>162,5</t>
  </si>
  <si>
    <t>212,5</t>
  </si>
  <si>
    <t>217,5</t>
  </si>
  <si>
    <t>Харламов Вячеслав</t>
  </si>
  <si>
    <t>1. Харламов Вячеслав</t>
  </si>
  <si>
    <t>Юниоры 20 - 23 (11.06.1997)/21</t>
  </si>
  <si>
    <t>94,60</t>
  </si>
  <si>
    <t xml:space="preserve">Росич </t>
  </si>
  <si>
    <t xml:space="preserve">Волжский/Волгоградская область </t>
  </si>
  <si>
    <t>182,5</t>
  </si>
  <si>
    <t>235,0</t>
  </si>
  <si>
    <t xml:space="preserve">Евтушенко В </t>
  </si>
  <si>
    <t>Иванилов Павел</t>
  </si>
  <si>
    <t>1. Иванилов Павел</t>
  </si>
  <si>
    <t>Открытая (07.04.1988)/30</t>
  </si>
  <si>
    <t>98,20</t>
  </si>
  <si>
    <t xml:space="preserve">епишко team </t>
  </si>
  <si>
    <t>225,0</t>
  </si>
  <si>
    <t>260,0</t>
  </si>
  <si>
    <t>280,0</t>
  </si>
  <si>
    <t xml:space="preserve">Седнев Д.Э. </t>
  </si>
  <si>
    <t>Подольский Иван</t>
  </si>
  <si>
    <t>2. Подольский Иван</t>
  </si>
  <si>
    <t>Открытая (08.04.1993)/25</t>
  </si>
  <si>
    <t>99,10</t>
  </si>
  <si>
    <t xml:space="preserve">кинг фит </t>
  </si>
  <si>
    <t xml:space="preserve">Фунтов Дмитрий </t>
  </si>
  <si>
    <t>Бабакин Константин</t>
  </si>
  <si>
    <t>1. Бабакин Константин</t>
  </si>
  <si>
    <t>Открытая (05.01.1984)/34</t>
  </si>
  <si>
    <t>106,30</t>
  </si>
  <si>
    <t>185,0</t>
  </si>
  <si>
    <t>242,5</t>
  </si>
  <si>
    <t>252,5</t>
  </si>
  <si>
    <t>Филипенко Александр</t>
  </si>
  <si>
    <t>2. Филипенко Александр</t>
  </si>
  <si>
    <t>Открытая (07.08.1982)/36</t>
  </si>
  <si>
    <t>107,00</t>
  </si>
  <si>
    <t>215,0</t>
  </si>
  <si>
    <t>172,5</t>
  </si>
  <si>
    <t>Макеев Александр</t>
  </si>
  <si>
    <t>3. Макеев Александр</t>
  </si>
  <si>
    <t>Открытая (05.12.1987)/31</t>
  </si>
  <si>
    <t>102,90</t>
  </si>
  <si>
    <t xml:space="preserve">Спарта </t>
  </si>
  <si>
    <t>240,0</t>
  </si>
  <si>
    <t>250,0</t>
  </si>
  <si>
    <t>Шацкий Алексей</t>
  </si>
  <si>
    <t>4. Шацкий Алексей</t>
  </si>
  <si>
    <t>Открытая (05.06.1979)/39</t>
  </si>
  <si>
    <t>109,20</t>
  </si>
  <si>
    <t>ВЕСОВАЯ КАТЕГОРИЯ   125</t>
  </si>
  <si>
    <t>Новосельцев Олег</t>
  </si>
  <si>
    <t>1. Новосельцев Олег</t>
  </si>
  <si>
    <t>Открытая (10.05.1985)/33</t>
  </si>
  <si>
    <t>123,00</t>
  </si>
  <si>
    <t>232,5</t>
  </si>
  <si>
    <t>275,0</t>
  </si>
  <si>
    <t>285,0</t>
  </si>
  <si>
    <t>292,5</t>
  </si>
  <si>
    <t>Шишкин Родион</t>
  </si>
  <si>
    <t>2. Шишкин Родион</t>
  </si>
  <si>
    <t>Открытая (03.10.1985)/33</t>
  </si>
  <si>
    <t>119,80</t>
  </si>
  <si>
    <t xml:space="preserve">МЕДВЕДЬ СОЧИ </t>
  </si>
  <si>
    <t xml:space="preserve">Женщины </t>
  </si>
  <si>
    <t xml:space="preserve">Девушки </t>
  </si>
  <si>
    <t xml:space="preserve">Юноши 0-13 </t>
  </si>
  <si>
    <t>52,0</t>
  </si>
  <si>
    <t>167,5</t>
  </si>
  <si>
    <t>203,8823</t>
  </si>
  <si>
    <t xml:space="preserve">Юниорки </t>
  </si>
  <si>
    <t xml:space="preserve">Юниоры 20 - 23 </t>
  </si>
  <si>
    <t>48,0</t>
  </si>
  <si>
    <t>190,7034</t>
  </si>
  <si>
    <t>335,0</t>
  </si>
  <si>
    <t>250,5298</t>
  </si>
  <si>
    <t>238,8140</t>
  </si>
  <si>
    <t>225,4200</t>
  </si>
  <si>
    <t>67,5</t>
  </si>
  <si>
    <t>217,6075</t>
  </si>
  <si>
    <t>295,0</t>
  </si>
  <si>
    <t>216,7365</t>
  </si>
  <si>
    <t>213,9210</t>
  </si>
  <si>
    <t xml:space="preserve">Юноши </t>
  </si>
  <si>
    <t xml:space="preserve">Юноши 14-15 </t>
  </si>
  <si>
    <t>392,5</t>
  </si>
  <si>
    <t>376,4483</t>
  </si>
  <si>
    <t xml:space="preserve">Юноши 16 - 17 </t>
  </si>
  <si>
    <t>565,0</t>
  </si>
  <si>
    <t>342,8714</t>
  </si>
  <si>
    <t xml:space="preserve">Юноши 18 - 19 </t>
  </si>
  <si>
    <t>480,0</t>
  </si>
  <si>
    <t>322,9354</t>
  </si>
  <si>
    <t>332,5</t>
  </si>
  <si>
    <t>267,8966</t>
  </si>
  <si>
    <t xml:space="preserve">Юниоры </t>
  </si>
  <si>
    <t>562,5</t>
  </si>
  <si>
    <t>326,5211</t>
  </si>
  <si>
    <t>702,5</t>
  </si>
  <si>
    <t>367,8992</t>
  </si>
  <si>
    <t>647,5</t>
  </si>
  <si>
    <t>361,6935</t>
  </si>
  <si>
    <t>537,5</t>
  </si>
  <si>
    <t>357,1687</t>
  </si>
  <si>
    <t>642,5</t>
  </si>
  <si>
    <t>347,9780</t>
  </si>
  <si>
    <t>617,5</t>
  </si>
  <si>
    <t>333,7587</t>
  </si>
  <si>
    <t>332,2765</t>
  </si>
  <si>
    <t>530,0</t>
  </si>
  <si>
    <t>329,6070</t>
  </si>
  <si>
    <t>590,0</t>
  </si>
  <si>
    <t>323,1430</t>
  </si>
  <si>
    <t>317,1250</t>
  </si>
  <si>
    <t>490,0</t>
  </si>
  <si>
    <t>308,7490</t>
  </si>
  <si>
    <t>500,0</t>
  </si>
  <si>
    <t>306,6000</t>
  </si>
  <si>
    <t>294,8390</t>
  </si>
  <si>
    <t>527,5</t>
  </si>
  <si>
    <t>278,0980</t>
  </si>
  <si>
    <t>387,5</t>
  </si>
  <si>
    <t>257,4937</t>
  </si>
  <si>
    <t>397,5</t>
  </si>
  <si>
    <t>250,0275</t>
  </si>
  <si>
    <t>410,0</t>
  </si>
  <si>
    <t>240,6290</t>
  </si>
  <si>
    <t xml:space="preserve">Мастера </t>
  </si>
  <si>
    <t xml:space="preserve">Мастера 45 - 49 </t>
  </si>
  <si>
    <t>375,0</t>
  </si>
  <si>
    <t>244,4536</t>
  </si>
  <si>
    <t>Командный Чемпионат России по пауэрлифтингу и отдельным движениям
ПРО пауэрлифтинг без экипировки
Краснодар/Краснодарский край 21 - 23 декабря 2018 г.</t>
  </si>
  <si>
    <t>Жукова Марина</t>
  </si>
  <si>
    <t>1. Жукова Марина</t>
  </si>
  <si>
    <t>Открытая (04.01.1981)/37</t>
  </si>
  <si>
    <t>73,00</t>
  </si>
  <si>
    <t xml:space="preserve">Титан Майкоп </t>
  </si>
  <si>
    <t xml:space="preserve">Майкоп/Адыгея </t>
  </si>
  <si>
    <t>Анохин Александр</t>
  </si>
  <si>
    <t>1. Анохин Александр</t>
  </si>
  <si>
    <t>Открытая (14.12.1983)/35</t>
  </si>
  <si>
    <t>207,5</t>
  </si>
  <si>
    <t xml:space="preserve">Самостоятельно </t>
  </si>
  <si>
    <t>Алпатов Игорь</t>
  </si>
  <si>
    <t>1. Алпатов Игорь</t>
  </si>
  <si>
    <t>Юноши 18 - 19 (05.10.1999)/19</t>
  </si>
  <si>
    <t>81,10</t>
  </si>
  <si>
    <t xml:space="preserve">Берлизов </t>
  </si>
  <si>
    <t>Дуйсембай Данияр</t>
  </si>
  <si>
    <t>1. Дуйсембай Данияр</t>
  </si>
  <si>
    <t>Открытая (31.01.1993)/25</t>
  </si>
  <si>
    <t>96,50</t>
  </si>
  <si>
    <t>222,5</t>
  </si>
  <si>
    <t>247,5</t>
  </si>
  <si>
    <t>Шавоев Яшар</t>
  </si>
  <si>
    <t>1. Шавоев Яшар</t>
  </si>
  <si>
    <t>Открытая (02.10.1986)/32</t>
  </si>
  <si>
    <t>121,30</t>
  </si>
  <si>
    <t xml:space="preserve">Майкоп </t>
  </si>
  <si>
    <t>300,0</t>
  </si>
  <si>
    <t>310,0</t>
  </si>
  <si>
    <t>290,0</t>
  </si>
  <si>
    <t>305,0</t>
  </si>
  <si>
    <t>149,0704</t>
  </si>
  <si>
    <t>402,5310</t>
  </si>
  <si>
    <t>785,0</t>
  </si>
  <si>
    <t>412,6745</t>
  </si>
  <si>
    <t>622,5</t>
  </si>
  <si>
    <t>350,6543</t>
  </si>
  <si>
    <t>467,5</t>
  </si>
  <si>
    <t>310,6537</t>
  </si>
  <si>
    <t>Командный Чемпионат России по пауэрлифтингу и отдельным движениям
Любители пауэрлифтинг в софт экипировке
Краснодар/Краснодарский край 21 - 23 декабря 2018 г.</t>
  </si>
  <si>
    <t>Терещенко Елена</t>
  </si>
  <si>
    <t>1. Терещенко Елена</t>
  </si>
  <si>
    <t>Открытая (09.05.1988)/30</t>
  </si>
  <si>
    <t>67,40</t>
  </si>
  <si>
    <t>Бойцевский Дмитрий</t>
  </si>
  <si>
    <t>1. Бойцевский Дмитрий</t>
  </si>
  <si>
    <t>Юноши 14-15 (16.06.2003)/15</t>
  </si>
  <si>
    <t>93,40</t>
  </si>
  <si>
    <t>192,5</t>
  </si>
  <si>
    <t>Открытая (16.06.2003)/15</t>
  </si>
  <si>
    <t>212,6181</t>
  </si>
  <si>
    <t>505,0</t>
  </si>
  <si>
    <t>341,4507</t>
  </si>
  <si>
    <t>289,3650</t>
  </si>
  <si>
    <t>Командный Чемпионат России по пауэрлифтингу и отдельным движениям
ПРО пауэрлифтинг в софт экипировке
Краснодар/Краснодарский край 21 - 23 декабря 2018 г.</t>
  </si>
  <si>
    <t>Шкаликов Максим</t>
  </si>
  <si>
    <t>1. Шкаликов Максим</t>
  </si>
  <si>
    <t>Открытая (10.11.1992)/26</t>
  </si>
  <si>
    <t>Грибов Анатолий</t>
  </si>
  <si>
    <t>1. Грибов Анатолий</t>
  </si>
  <si>
    <t>Открытая (07.02.1992)/26</t>
  </si>
  <si>
    <t>108,90</t>
  </si>
  <si>
    <t>350,0</t>
  </si>
  <si>
    <t>370,0</t>
  </si>
  <si>
    <t>330,0</t>
  </si>
  <si>
    <t>320,0</t>
  </si>
  <si>
    <t>Бойцевский Александр</t>
  </si>
  <si>
    <t>2. Бойцевский Александр</t>
  </si>
  <si>
    <t>Открытая (30.05.1987)/31</t>
  </si>
  <si>
    <t>105,80</t>
  </si>
  <si>
    <t>1035,0</t>
  </si>
  <si>
    <t>556,6230</t>
  </si>
  <si>
    <t>770,0</t>
  </si>
  <si>
    <t>417,6480</t>
  </si>
  <si>
    <t>660,0</t>
  </si>
  <si>
    <t>410,4540</t>
  </si>
  <si>
    <t>Командный Чемпионат России по пауэрлифтингу и отдельным движениям
Любители военный жим
Краснодар/Краснодарский край 21 - 23 декабря 2018 г.</t>
  </si>
  <si>
    <t>Гусаков Виталий</t>
  </si>
  <si>
    <t>1. Гусаков Виталий</t>
  </si>
  <si>
    <t>Юноши 18 - 19 (14.11.1999)/19</t>
  </si>
  <si>
    <t>77,40</t>
  </si>
  <si>
    <t xml:space="preserve">Темрюк/Краснодарский край </t>
  </si>
  <si>
    <t>-. Дискант Владислав</t>
  </si>
  <si>
    <t>Юноши 18 - 19 (06.05.1999)/19</t>
  </si>
  <si>
    <t>88,70</t>
  </si>
  <si>
    <t xml:space="preserve">спорт лайф гулькевичи </t>
  </si>
  <si>
    <t xml:space="preserve">Гулькевичи/Краснодарский край </t>
  </si>
  <si>
    <t>137,5</t>
  </si>
  <si>
    <t>Вагнер Игорь</t>
  </si>
  <si>
    <t>1. Вагнер Игорь</t>
  </si>
  <si>
    <t>Открытая (14.10.1977)/41</t>
  </si>
  <si>
    <t>121,00</t>
  </si>
  <si>
    <t xml:space="preserve">Черномор спорт </t>
  </si>
  <si>
    <t>187,5</t>
  </si>
  <si>
    <t>91,0634</t>
  </si>
  <si>
    <t>98,6250</t>
  </si>
  <si>
    <t>Результат</t>
  </si>
  <si>
    <t>Командный Чемпионат России по пауэрлифтингу и отдельным движениям
ПРО военный жим
Краснодар/Краснодарский край 21 - 23 декабря 2018 г.</t>
  </si>
  <si>
    <t>Командный Чемпионат России по пауэрлифтингу и отдельным движениям
Любители жим лежа в многослойной экипировке
Краснодар/Краснодарский край 21 - 23 декабря 2018 г.</t>
  </si>
  <si>
    <t>Командный Чемпионат России по пауэрлифтингу и отдельным движениям
ПРО жим лежа в многослойной экипировке
Краснодар/Краснодарский край 21 - 23 декабря 2018 г.</t>
  </si>
  <si>
    <t>Командный Чемпионат России по пауэрлифтингу и отдельным движениям
Любители жим лежа в однослойной экипировке
Краснодар/Краснодарский край 21 - 23 декабря 2018 г.</t>
  </si>
  <si>
    <t>Командный Чемпионат России по пауэрлифтингу и отдельным движениям
ПРО жим лежа в однослойной экипировке
Краснодар/Краснодарский край 21 - 23 декабря 2018 г.</t>
  </si>
  <si>
    <t>-. Кононов Андрей</t>
  </si>
  <si>
    <t>Открытая (04.03.1974)/44</t>
  </si>
  <si>
    <t>Командный Чемпионат России по пауэрлифтингу и отдельным движениям
Любители жим лежа без экипировки
Краснодар/Краснодарский край 21 - 23 декабря 2018 г.</t>
  </si>
  <si>
    <t>ВЕСОВАЯ КАТЕГОРИЯ   44</t>
  </si>
  <si>
    <t>Михайлова Кристина</t>
  </si>
  <si>
    <t>1. Михайлова Кристина</t>
  </si>
  <si>
    <t>Открытая (06.12.1987)/31</t>
  </si>
  <si>
    <t>41,20</t>
  </si>
  <si>
    <t xml:space="preserve">Позитив </t>
  </si>
  <si>
    <t>42,5</t>
  </si>
  <si>
    <t>ВЕСОВАЯ КАТЕГОРИЯ   56</t>
  </si>
  <si>
    <t>Олейникова Анастасия</t>
  </si>
  <si>
    <t>1. Олейникова Анастасия</t>
  </si>
  <si>
    <t>Девушки 14-15 (05.01.2003)/15</t>
  </si>
  <si>
    <t>56,00</t>
  </si>
  <si>
    <t>Молчанова Наталья</t>
  </si>
  <si>
    <t>1. Молчанова Наталья</t>
  </si>
  <si>
    <t>Открытая (22.09.1978)/40</t>
  </si>
  <si>
    <t>55,80</t>
  </si>
  <si>
    <t xml:space="preserve">Андриященко </t>
  </si>
  <si>
    <t>Ганделян Светлана</t>
  </si>
  <si>
    <t>1. Ганделян Светлана</t>
  </si>
  <si>
    <t>Открытая (03.07.1974)/44</t>
  </si>
  <si>
    <t>Данилова Ольга</t>
  </si>
  <si>
    <t>1. Данилова Ольга</t>
  </si>
  <si>
    <t>Открытая (10.11.1986)/32</t>
  </si>
  <si>
    <t>60,80</t>
  </si>
  <si>
    <t xml:space="preserve">антал </t>
  </si>
  <si>
    <t xml:space="preserve">пгт Тульский[4]/Адыгея </t>
  </si>
  <si>
    <t>Шиханова Светлана</t>
  </si>
  <si>
    <t>1. Шиханова Светлана</t>
  </si>
  <si>
    <t>Мастера 40 - 44 (22.10.1975)/43</t>
  </si>
  <si>
    <t>66,10</t>
  </si>
  <si>
    <t xml:space="preserve">wordclass </t>
  </si>
  <si>
    <t xml:space="preserve">Саратов/Саратовская область </t>
  </si>
  <si>
    <t>Тоджимаматов Салим</t>
  </si>
  <si>
    <t>-. Тоджимаматов Салим</t>
  </si>
  <si>
    <t>Юниоры 20 - 23 (12.10.1996)/22</t>
  </si>
  <si>
    <t>67,00</t>
  </si>
  <si>
    <t>Колчин Руслан</t>
  </si>
  <si>
    <t>1. Колчин Руслан</t>
  </si>
  <si>
    <t>Открытая (03.10.2001)/17</t>
  </si>
  <si>
    <t>65,00</t>
  </si>
  <si>
    <t>Лойко Артем</t>
  </si>
  <si>
    <t>1. Лойко Артем</t>
  </si>
  <si>
    <t>Юноши 14-15 (08.04.2003)/15</t>
  </si>
  <si>
    <t>71,20</t>
  </si>
  <si>
    <t>70,0w</t>
  </si>
  <si>
    <t>80,0w</t>
  </si>
  <si>
    <t>Кушнаренко Даниил</t>
  </si>
  <si>
    <t>1. Кушнаренко Даниил</t>
  </si>
  <si>
    <t>Юноши 16 - 17 (31.01.2001)/17</t>
  </si>
  <si>
    <t xml:space="preserve">ск Здоровяк </t>
  </si>
  <si>
    <t>Филиппов Алексей</t>
  </si>
  <si>
    <t>1. Филиппов Алексей</t>
  </si>
  <si>
    <t>Мастера 40 - 44 (29.11.1975)/43</t>
  </si>
  <si>
    <t>74,00</t>
  </si>
  <si>
    <t xml:space="preserve">кондратьев </t>
  </si>
  <si>
    <t>Дворкин Леонид</t>
  </si>
  <si>
    <t>1. Дворкин Леонид</t>
  </si>
  <si>
    <t>Мастера 75 - 79 (23.01.1941)/77</t>
  </si>
  <si>
    <t>74,10</t>
  </si>
  <si>
    <t>Пономарев Николай</t>
  </si>
  <si>
    <t>2. Пономарев Николай</t>
  </si>
  <si>
    <t>Юноши 18 - 19 (08.01.2000)/18</t>
  </si>
  <si>
    <t>79,20</t>
  </si>
  <si>
    <t xml:space="preserve">лифт апп </t>
  </si>
  <si>
    <t xml:space="preserve">Морозовск/Ростовская область </t>
  </si>
  <si>
    <t>Щербинин Федор</t>
  </si>
  <si>
    <t>1. Щербинин Федор</t>
  </si>
  <si>
    <t>Открытая (08.06.1983)/35</t>
  </si>
  <si>
    <t xml:space="preserve">КРОПОТКИН </t>
  </si>
  <si>
    <t xml:space="preserve">БЕСЕДИН ДМИТРИЙ </t>
  </si>
  <si>
    <t>Лянгузов Дмитрий</t>
  </si>
  <si>
    <t>2. Лянгузов Дмитрий</t>
  </si>
  <si>
    <t>Открытая (15.11.1988)/30</t>
  </si>
  <si>
    <t xml:space="preserve">Геленджик </t>
  </si>
  <si>
    <t>3. Гусаков Виталий</t>
  </si>
  <si>
    <t>Открытая (14.11.1999)/19</t>
  </si>
  <si>
    <t>Буц Виталий</t>
  </si>
  <si>
    <t>4. Буц Виталий</t>
  </si>
  <si>
    <t>Открытая (18.03.1988)/30</t>
  </si>
  <si>
    <t>Пенченко Сергей</t>
  </si>
  <si>
    <t>1. Пенченко Сергей</t>
  </si>
  <si>
    <t>Юниоры 20 - 23 (13.02.1997)/21</t>
  </si>
  <si>
    <t>88,00</t>
  </si>
  <si>
    <t>Клименко Сергей</t>
  </si>
  <si>
    <t>1. Клименко Сергей</t>
  </si>
  <si>
    <t>Открытая (01.09.1989)/29</t>
  </si>
  <si>
    <t>90,00</t>
  </si>
  <si>
    <t xml:space="preserve">фтз </t>
  </si>
  <si>
    <t>205,5</t>
  </si>
  <si>
    <t>Струнин Максим</t>
  </si>
  <si>
    <t>2. Струнин Максим</t>
  </si>
  <si>
    <t>Открытая (13.09.1990)/28</t>
  </si>
  <si>
    <t>89,90</t>
  </si>
  <si>
    <t>Кундохов Рустам</t>
  </si>
  <si>
    <t>3. Кундохов Рустам</t>
  </si>
  <si>
    <t>Открытая (11.10.1990)/28</t>
  </si>
  <si>
    <t>89,00</t>
  </si>
  <si>
    <t xml:space="preserve">Черкесск/Карачаево-Черкесия республика </t>
  </si>
  <si>
    <t>140,0w</t>
  </si>
  <si>
    <t>155,0w</t>
  </si>
  <si>
    <t>Синицын Артем</t>
  </si>
  <si>
    <t>1. Синицын Артем</t>
  </si>
  <si>
    <t>Открытая (28.09.1988)/30</t>
  </si>
  <si>
    <t>100,00</t>
  </si>
  <si>
    <t xml:space="preserve">x fit </t>
  </si>
  <si>
    <t>Даниелян Саник</t>
  </si>
  <si>
    <t>2. Даниелян Саник</t>
  </si>
  <si>
    <t>Открытая (13.04.1988)/30</t>
  </si>
  <si>
    <t>Петренко Сергей</t>
  </si>
  <si>
    <t>1. Петренко Сергей</t>
  </si>
  <si>
    <t>Мастера 40 - 44 (15.03.1978)/40</t>
  </si>
  <si>
    <t>98,70</t>
  </si>
  <si>
    <t xml:space="preserve">Самсон </t>
  </si>
  <si>
    <t xml:space="preserve">Сизов </t>
  </si>
  <si>
    <t>Алексенцев Андрей</t>
  </si>
  <si>
    <t>1. Алексенцев Андрей</t>
  </si>
  <si>
    <t>Открытая (17.07.1981)/37</t>
  </si>
  <si>
    <t>107,90</t>
  </si>
  <si>
    <t xml:space="preserve">Грибов </t>
  </si>
  <si>
    <t>-. Галеев Руслан</t>
  </si>
  <si>
    <t>Мастера 40 - 44 (15.09.1978)/40</t>
  </si>
  <si>
    <t>108,30</t>
  </si>
  <si>
    <t xml:space="preserve">Спорт комплекс Александра Карелина </t>
  </si>
  <si>
    <t>Симонов Андрей</t>
  </si>
  <si>
    <t>1. Симонов Андрей</t>
  </si>
  <si>
    <t>Мастера 45 - 49 (06.03.1972)/46</t>
  </si>
  <si>
    <t>101,30</t>
  </si>
  <si>
    <t>Логинов Александр</t>
  </si>
  <si>
    <t>2. Логинов Александр</t>
  </si>
  <si>
    <t>Мастера 45 - 49 (16.02.1969)/49</t>
  </si>
  <si>
    <t>109,10</t>
  </si>
  <si>
    <t>Ерошкин Игорь</t>
  </si>
  <si>
    <t>1. Ерошкин Игорь</t>
  </si>
  <si>
    <t>Мастера 50 - 54 (14.12.1965)/53</t>
  </si>
  <si>
    <t>109,40</t>
  </si>
  <si>
    <t xml:space="preserve">Малибу </t>
  </si>
  <si>
    <t>Барилко Алексей</t>
  </si>
  <si>
    <t>1. Барилко Алексей</t>
  </si>
  <si>
    <t>Открытая (06.09.1979)/39</t>
  </si>
  <si>
    <t>118,80</t>
  </si>
  <si>
    <t xml:space="preserve">Сизов А. В. </t>
  </si>
  <si>
    <t>Мастера 40 - 44 (14.10.1977)/41</t>
  </si>
  <si>
    <t>ВЕСОВАЯ КАТЕГОРИЯ   140</t>
  </si>
  <si>
    <t>Клебан Илья</t>
  </si>
  <si>
    <t>1. Клебан Илья</t>
  </si>
  <si>
    <t>Открытая (07.06.1989)/29</t>
  </si>
  <si>
    <t>132,00</t>
  </si>
  <si>
    <t xml:space="preserve">x- fit </t>
  </si>
  <si>
    <t>ВЕСОВАЯ КАТЕГОРИЯ   140+</t>
  </si>
  <si>
    <t>Меликов Михаил</t>
  </si>
  <si>
    <t>1. Меликов Михаил</t>
  </si>
  <si>
    <t>Открытая (28.10.1981)/37</t>
  </si>
  <si>
    <t>145,50</t>
  </si>
  <si>
    <t>56,0</t>
  </si>
  <si>
    <t>48,4484</t>
  </si>
  <si>
    <t>56,0888</t>
  </si>
  <si>
    <t>44,0</t>
  </si>
  <si>
    <t>55,4705</t>
  </si>
  <si>
    <t>51,6540</t>
  </si>
  <si>
    <t>42,5700</t>
  </si>
  <si>
    <t>36,5860</t>
  </si>
  <si>
    <t xml:space="preserve">Мастера 40 - 44 </t>
  </si>
  <si>
    <t>48,4548</t>
  </si>
  <si>
    <t>97,1506</t>
  </si>
  <si>
    <t>95,5792</t>
  </si>
  <si>
    <t>94,4362</t>
  </si>
  <si>
    <t>72,6545</t>
  </si>
  <si>
    <t>65,4286</t>
  </si>
  <si>
    <t>105,9398</t>
  </si>
  <si>
    <t>117,0600</t>
  </si>
  <si>
    <t>102,5200</t>
  </si>
  <si>
    <t>99,5690</t>
  </si>
  <si>
    <t>98,0137</t>
  </si>
  <si>
    <t>97,6655</t>
  </si>
  <si>
    <t>140+</t>
  </si>
  <si>
    <t>97,0125</t>
  </si>
  <si>
    <t>96,9500</t>
  </si>
  <si>
    <t>94,3500</t>
  </si>
  <si>
    <t>94,2880</t>
  </si>
  <si>
    <t>94,1800</t>
  </si>
  <si>
    <t>90,8040</t>
  </si>
  <si>
    <t>89,7770</t>
  </si>
  <si>
    <t>82,2280</t>
  </si>
  <si>
    <t>80,8470</t>
  </si>
  <si>
    <t>48,8410</t>
  </si>
  <si>
    <t xml:space="preserve">Мастера 75 - 79 </t>
  </si>
  <si>
    <t>143,3583</t>
  </si>
  <si>
    <t xml:space="preserve">Мастера 50 - 54 </t>
  </si>
  <si>
    <t>115,2657</t>
  </si>
  <si>
    <t>100,2398</t>
  </si>
  <si>
    <t>97,1881</t>
  </si>
  <si>
    <t>96,8648</t>
  </si>
  <si>
    <t>95,7164</t>
  </si>
  <si>
    <t>79,4152</t>
  </si>
  <si>
    <t>Командный Чемпионат России по пауэрлифтингу и отдельным движениям
ПРО жим лежа без экипировки
Краснодар/Краснодарский край 21 - 23 декабря 2018 г.</t>
  </si>
  <si>
    <t>Ухоботов Владимир</t>
  </si>
  <si>
    <t>1. Ухоботов Владимир</t>
  </si>
  <si>
    <t>Мастера 40 - 44 (18.06.1978)/40</t>
  </si>
  <si>
    <t>Берлизов Максим</t>
  </si>
  <si>
    <t>1. Берлизов Максим</t>
  </si>
  <si>
    <t>Открытая (26.03.1991)/27</t>
  </si>
  <si>
    <t>108,00</t>
  </si>
  <si>
    <t>Винокуров Александр</t>
  </si>
  <si>
    <t>1. Винокуров Александр</t>
  </si>
  <si>
    <t>Юниоры 20 - 23 (26.01.1995)/23</t>
  </si>
  <si>
    <t>122,30</t>
  </si>
  <si>
    <t>Маклашов Роман</t>
  </si>
  <si>
    <t>1. Маклашов Роман</t>
  </si>
  <si>
    <t>Открытая (16.06.1992)/26</t>
  </si>
  <si>
    <t>114,50</t>
  </si>
  <si>
    <t>Гирилял Александр</t>
  </si>
  <si>
    <t>2. Гирилял Александр</t>
  </si>
  <si>
    <t>Открытая (08.05.1987)/31</t>
  </si>
  <si>
    <t>117,50</t>
  </si>
  <si>
    <t xml:space="preserve">титан Славянск </t>
  </si>
  <si>
    <t>Ремнев Василий</t>
  </si>
  <si>
    <t>-. Ремнев Василий</t>
  </si>
  <si>
    <t>Открытая (19.09.1978)/40</t>
  </si>
  <si>
    <t>121,10</t>
  </si>
  <si>
    <t>Соляник Олег</t>
  </si>
  <si>
    <t>1. Соляник Олег</t>
  </si>
  <si>
    <t>Открытая (05.10.1990)/28</t>
  </si>
  <si>
    <t>138,90</t>
  </si>
  <si>
    <t>29,4460</t>
  </si>
  <si>
    <t>104,9200</t>
  </si>
  <si>
    <t>109,0190</t>
  </si>
  <si>
    <t>107,8200</t>
  </si>
  <si>
    <t>103,4656</t>
  </si>
  <si>
    <t>101,8710</t>
  </si>
  <si>
    <t>89,0080</t>
  </si>
  <si>
    <t>Командный Чемпионат России по пауэрлифтингу и отдельным движениям
Любители жим лежа в софт экипировке
Краснодар/Краснодарский край 21 - 23 декабря 2018 г.</t>
  </si>
  <si>
    <t>Асланян Руслан</t>
  </si>
  <si>
    <t>1. Асланян Руслан</t>
  </si>
  <si>
    <t>Юниоры 20 - 23 (14.10.1995)/23</t>
  </si>
  <si>
    <t>67,50</t>
  </si>
  <si>
    <t xml:space="preserve">ДГТУ </t>
  </si>
  <si>
    <t xml:space="preserve">Ростов-на-Дону/Ростовская область </t>
  </si>
  <si>
    <t>197,5</t>
  </si>
  <si>
    <t>Открытая (14.10.1995)/23</t>
  </si>
  <si>
    <t>Космынин Владимир</t>
  </si>
  <si>
    <t>1. Космынин Владимир</t>
  </si>
  <si>
    <t>Мастера 55 - 59 (12.06.1960)/58</t>
  </si>
  <si>
    <t xml:space="preserve">Кропоткин </t>
  </si>
  <si>
    <t xml:space="preserve">самостоятельно </t>
  </si>
  <si>
    <t>Свидин Андрей</t>
  </si>
  <si>
    <t>1. Свидин Андрей</t>
  </si>
  <si>
    <t>Открытая (01.02.1980)/38</t>
  </si>
  <si>
    <t xml:space="preserve">Краснодар </t>
  </si>
  <si>
    <t>Петриченко Александр</t>
  </si>
  <si>
    <t>1. Петриченко Александр</t>
  </si>
  <si>
    <t>Мастера 40 - 44 (19.02.1976)/42</t>
  </si>
  <si>
    <t>115,30</t>
  </si>
  <si>
    <t>137,9020</t>
  </si>
  <si>
    <t>134,6190</t>
  </si>
  <si>
    <t xml:space="preserve">Мастера 55 - 59 </t>
  </si>
  <si>
    <t>172,9362</t>
  </si>
  <si>
    <t>123,2524</t>
  </si>
  <si>
    <t>Командный Чемпионат России по пауэрлифтингу и отдельным движениям
ПРО жим лежа в софт экипировке
Краснодар/Краснодарский край 21 - 23 декабря 2018 г.</t>
  </si>
  <si>
    <t>-. Гилевич Руслан</t>
  </si>
  <si>
    <t>Открытая (31.07.1992)/26</t>
  </si>
  <si>
    <t>82,50</t>
  </si>
  <si>
    <t>Микао Михаил</t>
  </si>
  <si>
    <t>1. Микао Михаил</t>
  </si>
  <si>
    <t>Открытая (29.07.1985)/33</t>
  </si>
  <si>
    <t>125,00</t>
  </si>
  <si>
    <t>265,0</t>
  </si>
  <si>
    <t xml:space="preserve">Чугунов Евгений </t>
  </si>
  <si>
    <t>2. Ремнев Василий</t>
  </si>
  <si>
    <t>143,2750</t>
  </si>
  <si>
    <t>132,7898</t>
  </si>
  <si>
    <t>Командный Чемпионат России по пауэрлифтингу и отдельным движениям
ПРО жим лежа в софт экипировке3сл.
Краснодар/Краснодарский край 21 - 23 декабря 2018 г.</t>
  </si>
  <si>
    <t>Командный Чемпионат России по пауэрлифтингу и отдельным движениям
Любители становая тяга в многослойной экипировке
Краснодар/Краснодарский край 21 - 23 декабря 2018 г.</t>
  </si>
  <si>
    <t>Командный Чемпионат России по пауэрлифтингу и отдельным движениям
ПРО становая тяга в многослойной экипировке
Краснодар/Краснодарский край 21 - 23 декабря 2018 г.</t>
  </si>
  <si>
    <t>Командный Чемпионат России по пауэрлифтингу и отдельным движениям
Любители становая тяга в однослойной экипировке
Краснодар/Краснодарский край 21 - 23 декабря 2018 г.</t>
  </si>
  <si>
    <t>Банман Виктор</t>
  </si>
  <si>
    <t>1. Банман Виктор</t>
  </si>
  <si>
    <t>Мастера 60 - 64 (18.01.1957)/61</t>
  </si>
  <si>
    <t>80,00</t>
  </si>
  <si>
    <t xml:space="preserve">Горячий Ключ </t>
  </si>
  <si>
    <t xml:space="preserve">Мастера 60 - 64 </t>
  </si>
  <si>
    <t>199,0470</t>
  </si>
  <si>
    <t>Командный Чемпионат России по пауэрлифтингу и отдельным движениям
ПРО становая тяга в однослойной экипировке
Краснодар/Краснодарский край 21 - 23 декабря 2018 г.</t>
  </si>
  <si>
    <t>Киселев Алексей</t>
  </si>
  <si>
    <t>1. Киселев Алексей</t>
  </si>
  <si>
    <t>Открытая (27.04.1974)/44</t>
  </si>
  <si>
    <t>99,20</t>
  </si>
  <si>
    <t xml:space="preserve">Asport </t>
  </si>
  <si>
    <t xml:space="preserve">Астрахань </t>
  </si>
  <si>
    <t xml:space="preserve">- </t>
  </si>
  <si>
    <t>1. Гирилял Александр</t>
  </si>
  <si>
    <t>175,9590</t>
  </si>
  <si>
    <t>139,0000</t>
  </si>
  <si>
    <t>Командный Чемпионат России по пауэрлифтингу и отдельным движениям
Любители становая тяга без экипировки
Краснодар/Краснодарский край 21 - 23 декабря 2018 г.</t>
  </si>
  <si>
    <t>Деркачева Надежда</t>
  </si>
  <si>
    <t>1. Деркачева Надежда</t>
  </si>
  <si>
    <t>Юниорки 20 - 23 (22.03.1995)/23</t>
  </si>
  <si>
    <t>51,70</t>
  </si>
  <si>
    <t xml:space="preserve">Осипов К </t>
  </si>
  <si>
    <t>Открытая (22.03.1995)/23</t>
  </si>
  <si>
    <t>Миносян Седа</t>
  </si>
  <si>
    <t>2. Миносян Седа</t>
  </si>
  <si>
    <t>Открытая (15.10.1980)/38</t>
  </si>
  <si>
    <t>50,60</t>
  </si>
  <si>
    <t>100,0w</t>
  </si>
  <si>
    <t>110,0w</t>
  </si>
  <si>
    <t>115,0w</t>
  </si>
  <si>
    <t>Даниленко Ольга</t>
  </si>
  <si>
    <t>1. Даниленко Ольга</t>
  </si>
  <si>
    <t>Мастера 40 - 44 (09.09.1976)/42</t>
  </si>
  <si>
    <t xml:space="preserve">Кривой Рог/ </t>
  </si>
  <si>
    <t>50,0w</t>
  </si>
  <si>
    <t>60,0w</t>
  </si>
  <si>
    <t>Александрова Светлана</t>
  </si>
  <si>
    <t>1. Александрова Светлана</t>
  </si>
  <si>
    <t>Открытая (16.01.1981)/37</t>
  </si>
  <si>
    <t>54,90</t>
  </si>
  <si>
    <t xml:space="preserve">Rino don </t>
  </si>
  <si>
    <t>Игнатенко Юлия</t>
  </si>
  <si>
    <t>2. Игнатенко Юлия</t>
  </si>
  <si>
    <t>Открытая (17.09.1985)/33</t>
  </si>
  <si>
    <t>55,90</t>
  </si>
  <si>
    <t>120,0w</t>
  </si>
  <si>
    <t>127,5w</t>
  </si>
  <si>
    <t>132,5w</t>
  </si>
  <si>
    <t>Зиновьева Валерия</t>
  </si>
  <si>
    <t>1. Зиновьева Валерия</t>
  </si>
  <si>
    <t>Открытая (07.02.1991)/27</t>
  </si>
  <si>
    <t>Шевченко Крестине</t>
  </si>
  <si>
    <t>2. Шевченко Крестине</t>
  </si>
  <si>
    <t>Открытая (23.12.1983)/34</t>
  </si>
  <si>
    <t>66,00</t>
  </si>
  <si>
    <t>3. Данилова Ольга</t>
  </si>
  <si>
    <t>Открытая (12.04.1986)/32</t>
  </si>
  <si>
    <t>Урвачева Инна</t>
  </si>
  <si>
    <t>4. Урвачева Инна</t>
  </si>
  <si>
    <t>Открытая (17.11.1983)/35</t>
  </si>
  <si>
    <t>64,20</t>
  </si>
  <si>
    <t>Позднякова Анна</t>
  </si>
  <si>
    <t>5. Позднякова Анна</t>
  </si>
  <si>
    <t>Открытая (22.09.1979)/39</t>
  </si>
  <si>
    <t>85,0w</t>
  </si>
  <si>
    <t>95,0w</t>
  </si>
  <si>
    <t>105,0w</t>
  </si>
  <si>
    <t xml:space="preserve">Хачатрян </t>
  </si>
  <si>
    <t>Крылова Надежда</t>
  </si>
  <si>
    <t>6. Крылова Надежда</t>
  </si>
  <si>
    <t>Открытая (24.11.1982)/36</t>
  </si>
  <si>
    <t>Смалюк Олеся</t>
  </si>
  <si>
    <t>2. Смалюк Олеся</t>
  </si>
  <si>
    <t>Открытая (01.04.1988)/30</t>
  </si>
  <si>
    <t>117,5w</t>
  </si>
  <si>
    <t>Руденко Елена</t>
  </si>
  <si>
    <t>1. Руденко Елена</t>
  </si>
  <si>
    <t>Открытая (19.05.1970)/48</t>
  </si>
  <si>
    <t>76,20</t>
  </si>
  <si>
    <t xml:space="preserve">165спорт лайф гулькевичи </t>
  </si>
  <si>
    <t>Ковальская Алла</t>
  </si>
  <si>
    <t>1. Ковальская Алла</t>
  </si>
  <si>
    <t>Мастера 40 - 44 (01.01.1975)/43</t>
  </si>
  <si>
    <t>81,60</t>
  </si>
  <si>
    <t>Де Ламар</t>
  </si>
  <si>
    <t>1. Де Ламар</t>
  </si>
  <si>
    <t>Открытая (05.08.1993)/25</t>
  </si>
  <si>
    <t>57,00</t>
  </si>
  <si>
    <t xml:space="preserve">медведь став </t>
  </si>
  <si>
    <t xml:space="preserve">абрамов а </t>
  </si>
  <si>
    <t>Гущин Артур</t>
  </si>
  <si>
    <t>1. Гущин Артур</t>
  </si>
  <si>
    <t>Юноши 14-15 (26.02.2004)/14</t>
  </si>
  <si>
    <t>64,40</t>
  </si>
  <si>
    <t>Нащук Владислав</t>
  </si>
  <si>
    <t>1. Нащук Владислав</t>
  </si>
  <si>
    <t>Юноши 16 - 17 (19.12.2001)/17</t>
  </si>
  <si>
    <t>65,30</t>
  </si>
  <si>
    <t>Рящин Евгений</t>
  </si>
  <si>
    <t>1. Рящин Евгений</t>
  </si>
  <si>
    <t>Юниоры 20 - 23 (04.01.1997)/21</t>
  </si>
  <si>
    <t>67,10</t>
  </si>
  <si>
    <t>192,5w</t>
  </si>
  <si>
    <t>1. Тоджимаматов Салим</t>
  </si>
  <si>
    <t>Открытая (12.10.1996)/22</t>
  </si>
  <si>
    <t>Шаврин Борис</t>
  </si>
  <si>
    <t>1. Шаврин Борис</t>
  </si>
  <si>
    <t>Мастера 65 - 69 (12.03.1951)/67</t>
  </si>
  <si>
    <t>Кондакчян Александр</t>
  </si>
  <si>
    <t>2. Кондакчян Александр</t>
  </si>
  <si>
    <t>Юноши 14-15 (23.04.2003)/15</t>
  </si>
  <si>
    <t>74,60</t>
  </si>
  <si>
    <t>150,0w</t>
  </si>
  <si>
    <t>-. Казарян Хачатур</t>
  </si>
  <si>
    <t>Юноши 14-15 (14.05.2004)/14</t>
  </si>
  <si>
    <t>71,10</t>
  </si>
  <si>
    <t xml:space="preserve">вейдер </t>
  </si>
  <si>
    <t>Нащук Ярослав</t>
  </si>
  <si>
    <t>1. Нащук Ярослав</t>
  </si>
  <si>
    <t>Олейников Владимир</t>
  </si>
  <si>
    <t>2. Олейников Владимир</t>
  </si>
  <si>
    <t>Открытая (23.07.1987)/31</t>
  </si>
  <si>
    <t>72,60</t>
  </si>
  <si>
    <t xml:space="preserve">Бойцевский </t>
  </si>
  <si>
    <t>Король Ярослав</t>
  </si>
  <si>
    <t>3. Король Ярослав</t>
  </si>
  <si>
    <t>Открытая (15.05.1990)/28</t>
  </si>
  <si>
    <t>72,00</t>
  </si>
  <si>
    <t>1. Пономарев Николай</t>
  </si>
  <si>
    <t>Кузьмищев Владислав</t>
  </si>
  <si>
    <t>1. Кузьмищев Владислав</t>
  </si>
  <si>
    <t>Открытая (18.10.1983)/35</t>
  </si>
  <si>
    <t xml:space="preserve">доктор лифтинг алекс фитнес </t>
  </si>
  <si>
    <t xml:space="preserve">Алчевск/ </t>
  </si>
  <si>
    <t>285,5</t>
  </si>
  <si>
    <t>Хачатрян Роман</t>
  </si>
  <si>
    <t>3. Хачатрян Роман</t>
  </si>
  <si>
    <t>Открытая (26.10.1988)/30</t>
  </si>
  <si>
    <t>81,90</t>
  </si>
  <si>
    <t>Балтин Олег</t>
  </si>
  <si>
    <t>1. Балтин Олег</t>
  </si>
  <si>
    <t>Мастера 40 - 44 (26.05.1978)/40</t>
  </si>
  <si>
    <t>Третьяков Игорь</t>
  </si>
  <si>
    <t>1. Третьяков Игорь</t>
  </si>
  <si>
    <t>Мастера 55 - 59 (14.07.1962)/56</t>
  </si>
  <si>
    <t>Лебедев Виктор</t>
  </si>
  <si>
    <t>2. Лебедев Виктор</t>
  </si>
  <si>
    <t>Открытая (28.07.1988)/30</t>
  </si>
  <si>
    <t>95,00</t>
  </si>
  <si>
    <t>Барсуков Юрий</t>
  </si>
  <si>
    <t>1. Барсуков Юрий</t>
  </si>
  <si>
    <t>Открытая (15.12.1979)/39</t>
  </si>
  <si>
    <t>102,50</t>
  </si>
  <si>
    <t>Крапивка Иван</t>
  </si>
  <si>
    <t>1. Крапивка Иван</t>
  </si>
  <si>
    <t>Мастера 40 - 44 (13.10.1977)/41</t>
  </si>
  <si>
    <t>110,00</t>
  </si>
  <si>
    <t xml:space="preserve">50 gym </t>
  </si>
  <si>
    <t>262,5</t>
  </si>
  <si>
    <t>Дедик Павел</t>
  </si>
  <si>
    <t>2. Дедик Павел</t>
  </si>
  <si>
    <t>Мастера 40 - 44 (04.05.1975)/43</t>
  </si>
  <si>
    <t>108,20</t>
  </si>
  <si>
    <t xml:space="preserve">Идеал </t>
  </si>
  <si>
    <t>Таловасов Анатолий</t>
  </si>
  <si>
    <t>1. Таловасов Анатолий</t>
  </si>
  <si>
    <t>Мастера 55 - 59 (01.12.1960)/58</t>
  </si>
  <si>
    <t xml:space="preserve">П. тульский </t>
  </si>
  <si>
    <t>136,3460</t>
  </si>
  <si>
    <t>132,0975</t>
  </si>
  <si>
    <t>121,0122</t>
  </si>
  <si>
    <t>117,7688</t>
  </si>
  <si>
    <t>113,9823</t>
  </si>
  <si>
    <t>109,0787</t>
  </si>
  <si>
    <t>108,4383</t>
  </si>
  <si>
    <t>89,3970</t>
  </si>
  <si>
    <t>87,3730</t>
  </si>
  <si>
    <t>86,4976</t>
  </si>
  <si>
    <t>85,3860</t>
  </si>
  <si>
    <t>76,6260</t>
  </si>
  <si>
    <t>76,0232</t>
  </si>
  <si>
    <t>69,8954</t>
  </si>
  <si>
    <t>170,2410</t>
  </si>
  <si>
    <t>135,3313</t>
  </si>
  <si>
    <t>128,4126</t>
  </si>
  <si>
    <t>124,8841</t>
  </si>
  <si>
    <t>119,5366</t>
  </si>
  <si>
    <t>118,1121</t>
  </si>
  <si>
    <t>111,8808</t>
  </si>
  <si>
    <t>143,2766</t>
  </si>
  <si>
    <t>142,2181</t>
  </si>
  <si>
    <t>177,5525</t>
  </si>
  <si>
    <t>150,8220</t>
  </si>
  <si>
    <t>146,6300</t>
  </si>
  <si>
    <t>146,1900</t>
  </si>
  <si>
    <t>144,6700</t>
  </si>
  <si>
    <t>137,3060</t>
  </si>
  <si>
    <t>131,5260</t>
  </si>
  <si>
    <t>129,1480</t>
  </si>
  <si>
    <t>123,6060</t>
  </si>
  <si>
    <t>122,0770</t>
  </si>
  <si>
    <t>120,6700</t>
  </si>
  <si>
    <t>111,5400</t>
  </si>
  <si>
    <t xml:space="preserve">Мастера 65 - 69 </t>
  </si>
  <si>
    <t>255,3001</t>
  </si>
  <si>
    <t>206,3040</t>
  </si>
  <si>
    <t>141,2537</t>
  </si>
  <si>
    <t>133,0109</t>
  </si>
  <si>
    <t>129,7318</t>
  </si>
  <si>
    <t>126,9575</t>
  </si>
  <si>
    <t>Командный Чемпионат России по пауэрлифтингу и отдельным движениям
ПРО становая тяга без экипировки
Краснодар/Краснодарский край 21 - 23 декабря 2018 г.</t>
  </si>
  <si>
    <t>Агабекян Артур</t>
  </si>
  <si>
    <t>1. Агабекян Артур</t>
  </si>
  <si>
    <t>Открытая (16.04.1993)/25</t>
  </si>
  <si>
    <t>77,90</t>
  </si>
  <si>
    <t xml:space="preserve">Владикавказ/Северная Осетия - Алания республика </t>
  </si>
  <si>
    <t>Крят Игорь</t>
  </si>
  <si>
    <t>1. Крят Игорь</t>
  </si>
  <si>
    <t>Открытая (31.05.1988)/30</t>
  </si>
  <si>
    <t xml:space="preserve">Тимашёвск/Краснодарский край </t>
  </si>
  <si>
    <t>Грушинский Александр</t>
  </si>
  <si>
    <t>2. Грушинский Александр</t>
  </si>
  <si>
    <t>Открытая (06.02.1975)/43</t>
  </si>
  <si>
    <t>88,90</t>
  </si>
  <si>
    <t>Кручинин Александр</t>
  </si>
  <si>
    <t>1. Кручинин Александр</t>
  </si>
  <si>
    <t>Открытая (05.03.1992)/26</t>
  </si>
  <si>
    <t>95,40</t>
  </si>
  <si>
    <t>-. Ухоботов Владимир</t>
  </si>
  <si>
    <t>60,7324</t>
  </si>
  <si>
    <t>156,4493</t>
  </si>
  <si>
    <t>175,5900</t>
  </si>
  <si>
    <t>150,1490</t>
  </si>
  <si>
    <t>141,5280</t>
  </si>
  <si>
    <t>103,2640</t>
  </si>
  <si>
    <t>Командный Чемпионат России по пауэрлифтингу и отдельным движениям
Любители становая тяга в софт экипировке
Краснодар/Краснодарский край 21 - 23 декабря 2018 г.</t>
  </si>
  <si>
    <t>Командный Чемпионат России по пауэрлифтингу и отдельным движениям
ПРО становая тяга в софт экипировке
Краснодар/Краснодарский край 21 - 23 декабря 2018 г.</t>
  </si>
  <si>
    <t>Командный Чемпионат России по пауэрлифтингу и отдельным движениям
Любители присед в многослойной экипировке
Краснодар/Краснодарский край 21 - 23 декабря 2018 г.</t>
  </si>
  <si>
    <t>Командный Чемпионат России по пауэрлифтингу и отдельным движениям
ПРО присед в многослойной экипировке
Краснодар/Краснодарский край 21 - 23 декабря 2018 г.</t>
  </si>
  <si>
    <t>Митрофанов Павел</t>
  </si>
  <si>
    <t>1. Митрофанов Павел</t>
  </si>
  <si>
    <t>Открытая (12.08.1983)/35</t>
  </si>
  <si>
    <t>99,90</t>
  </si>
  <si>
    <t xml:space="preserve">Чемпион </t>
  </si>
  <si>
    <t xml:space="preserve">Горячий ключ </t>
  </si>
  <si>
    <t xml:space="preserve">Сизов андрей </t>
  </si>
  <si>
    <t>182,9190</t>
  </si>
  <si>
    <t>Командный Чемпионат России по пауэрлифтингу и отдельным движениям
Любители присед в однослойной экипировке
Краснодар/Краснодарский край 21 - 23 декабря 2018 г.</t>
  </si>
  <si>
    <t>Командный Чемпионат России по пауэрлифтингу и отдельным движениям
ПРО присед в однослойной экипировке
Краснодар/Краснодарский край 21 - 23 декабря 2018 г.</t>
  </si>
  <si>
    <t>Командный Чемпионат России по пауэрлифтингу и отдельным движениям
Любители присед без экипировки
Краснодар/Краснодарский край 21 - 23 декабря 2018 г.</t>
  </si>
  <si>
    <t>129,4790</t>
  </si>
  <si>
    <t>99,0259</t>
  </si>
  <si>
    <t>Командный Чемпионат России по пауэрлифтингу и отдельным движениям
ПРО присед без экипировки
Краснодар/Краснодарский край 21 - 23 декабря 2018 г.</t>
  </si>
  <si>
    <t>Гусарова Инна</t>
  </si>
  <si>
    <t>1. Гусарова Инна</t>
  </si>
  <si>
    <t>Открытая (30.04.1983)/35</t>
  </si>
  <si>
    <t>53,40</t>
  </si>
  <si>
    <t>61,6493</t>
  </si>
  <si>
    <t>58,8920</t>
  </si>
  <si>
    <t>146,6712</t>
  </si>
  <si>
    <t>Командный Чемпионат России по пауэрлифтингу и отдельным движениям
Любители присед в софт экипировке
Краснодар/Краснодарский край 21 - 23 декабря 2018 г.</t>
  </si>
  <si>
    <t>Муковнина Алена</t>
  </si>
  <si>
    <t>1. Муковнина Алена</t>
  </si>
  <si>
    <t>Юниорки 20 - 23 (18.02.1998)/20</t>
  </si>
  <si>
    <t>65,90</t>
  </si>
  <si>
    <t>Лукьяненко Иван</t>
  </si>
  <si>
    <t>1. Лукьяненко Иван</t>
  </si>
  <si>
    <t>Юноши 16 - 17 (28.03.2001)/17</t>
  </si>
  <si>
    <t>94,00</t>
  </si>
  <si>
    <t xml:space="preserve">Алекс Фитнес </t>
  </si>
  <si>
    <t>88,0651</t>
  </si>
  <si>
    <t>144,9198</t>
  </si>
  <si>
    <t>Командный Чемпионат России по пауэрлифтингу и отдельным движениям
ПРО присед в софт экипировке
Краснодар/Краснодарский край 21 - 23 декабря 2018 г.</t>
  </si>
  <si>
    <t>Командный Чемпионат России по пауэрлифтингу и отдельным движениям
Силовое двоеборье любители
Краснодар/Краснодарский край 21 - 23 декабря 2018 г.</t>
  </si>
  <si>
    <t>Командный Чемпионат России по пауэрлифтингу и отдельным движениям
Силовое двоеборье профессианалы
Краснодар/Краснодарский край 21 - 23 декабря 2018 г.</t>
  </si>
  <si>
    <t>Командный Чемпионат России по пауэрспорт
Одиночный жим штанги стоя Любители
Краснодар/Краснодарский край 21 - 23 декабря 2018 г.</t>
  </si>
  <si>
    <t>Командный Чемпионат России по пауэрспорт
Одиночный жим штанги стоя Профессионалы
Краснодар/Краснодарский край 21 - 23 декабря 2018 г.</t>
  </si>
  <si>
    <t>Командный Чемпионат России по пауэрспорт
Одиночный подъём штанги на бицепс Любители
Краснодар/Краснодарский край 21 - 23 декабря 2018 г.</t>
  </si>
  <si>
    <t>Подъем на бицепс</t>
  </si>
  <si>
    <t>Карцаев Альберт</t>
  </si>
  <si>
    <t>1. Карцаев Альберт</t>
  </si>
  <si>
    <t>Открытая (30.06.1985)/33</t>
  </si>
  <si>
    <t>89,20</t>
  </si>
  <si>
    <t>62,5w</t>
  </si>
  <si>
    <t xml:space="preserve">Губжев Б.Р. </t>
  </si>
  <si>
    <t>39,7238</t>
  </si>
  <si>
    <t>Командный Чемпионат России по пауэрспорт
Одиночный подъём штанги на бицепс Профессионалы
Краснодар/Краснодарский край 21 - 23 декабря 2018 г.</t>
  </si>
  <si>
    <t>Командный Чемпионат России по пауэрспорт
Пауэрспорт Любители
Краснодар/Краснодарский край 21 - 23 декабря 2018 г.</t>
  </si>
  <si>
    <t>Жим стоя</t>
  </si>
  <si>
    <t>72,5</t>
  </si>
  <si>
    <t>82,3900</t>
  </si>
  <si>
    <t>Командный Чемпионат России по пауэрспорт
Пауэрспорт Профессионалы
Краснодар/Краснодарский край 21 - 23 декабря 2018 г.</t>
  </si>
  <si>
    <t>Командный Чемпионат России по нж
Любители народный жим (1 вес)
Краснодар/Краснодарский край 21 - 23 декабря 2018 г.</t>
  </si>
  <si>
    <t>НАП Н.Ж.</t>
  </si>
  <si>
    <t>29,0</t>
  </si>
  <si>
    <t>32,0</t>
  </si>
  <si>
    <t>23,0</t>
  </si>
  <si>
    <t>19,0</t>
  </si>
  <si>
    <t xml:space="preserve">НАП Н.Ж. </t>
  </si>
  <si>
    <t>2610,0</t>
  </si>
  <si>
    <t>1905,0390</t>
  </si>
  <si>
    <t>2880,0</t>
  </si>
  <si>
    <t>2055,4560</t>
  </si>
  <si>
    <t>2357,5</t>
  </si>
  <si>
    <t>1639,6413</t>
  </si>
  <si>
    <t>2090,0</t>
  </si>
  <si>
    <t>1345,9600</t>
  </si>
  <si>
    <t>Жим мн. повт.</t>
  </si>
  <si>
    <t>Вес</t>
  </si>
  <si>
    <t>Повторы</t>
  </si>
  <si>
    <t>Тоннаж</t>
  </si>
  <si>
    <t>Командный Чемпионат России по нж
Любители народный жим (1/2 вес)
Краснодар/Краснодарский край 21 - 23 декабря 2018 г.</t>
  </si>
  <si>
    <t>Командный Чемпионат России по нж
Профессионалы народный жим (1 вес)
Краснодар/Краснодарский край 21 - 23 декабря 2018 г.</t>
  </si>
  <si>
    <t>Гавриленко Роман</t>
  </si>
  <si>
    <t>1. Гавриленко Роман</t>
  </si>
  <si>
    <t>Открытая (24.06.1993)/25</t>
  </si>
  <si>
    <t>96,90</t>
  </si>
  <si>
    <t xml:space="preserve">Батайск/Ростовская область </t>
  </si>
  <si>
    <t>97,5w</t>
  </si>
  <si>
    <t>31,0</t>
  </si>
  <si>
    <t>Скляр Олег</t>
  </si>
  <si>
    <t>1. Скляр Олег</t>
  </si>
  <si>
    <t>Мастера 50 - 54 (21.06.1966)/52</t>
  </si>
  <si>
    <t>111,40</t>
  </si>
  <si>
    <t>17,0</t>
  </si>
  <si>
    <t>3410,0</t>
  </si>
  <si>
    <t>2224,3430</t>
  </si>
  <si>
    <t>3022,5</t>
  </si>
  <si>
    <t>2064,3676</t>
  </si>
  <si>
    <t>1912,5</t>
  </si>
  <si>
    <t>1339,1325</t>
  </si>
  <si>
    <t>Командный Чемпионат России по нж
Профессионалы народный жим (1/2 вес)
Краснодар/Краснодарский край 21 - 23 декабря 2018 г.</t>
  </si>
  <si>
    <t>Командный Чемпионат России по рж
Русский жим профессионалы 35 кг.
Краснодар/Краснодарский край 21 - 23 декабря 2018 г.</t>
  </si>
  <si>
    <t>Атлетизм</t>
  </si>
  <si>
    <t>ВЕСОВАЯ КАТЕГОРИЯ   All</t>
  </si>
  <si>
    <t>Федянина Виктория</t>
  </si>
  <si>
    <t>1. Федянина Виктория</t>
  </si>
  <si>
    <t>Открытая (04.11.1994)/24</t>
  </si>
  <si>
    <t>55,40</t>
  </si>
  <si>
    <t xml:space="preserve">Витязь </t>
  </si>
  <si>
    <t>Скляр Наталья</t>
  </si>
  <si>
    <t>1. Скляр Наталья</t>
  </si>
  <si>
    <t>Мастера 50 - 54 (28.01.1967)/51</t>
  </si>
  <si>
    <t>59,70</t>
  </si>
  <si>
    <t>38,0</t>
  </si>
  <si>
    <t xml:space="preserve">Атлетизм </t>
  </si>
  <si>
    <t>All</t>
  </si>
  <si>
    <t>875,0</t>
  </si>
  <si>
    <t>15,7942</t>
  </si>
  <si>
    <t>1330,0</t>
  </si>
  <si>
    <t>22,2780</t>
  </si>
  <si>
    <t>Командный Чемпионат России по рж
Русский жим профессионалы 55 кг.
Краснодар/Краснодарский край 21 - 23 декабря 2018 г.</t>
  </si>
  <si>
    <t>Командный Чемпионат России по рж
Русский жим профессионалы 75 кг.
Краснодар/Краснодарский край 21 - 23 декабря 2018 г.</t>
  </si>
  <si>
    <t>Командный Чемпионат России по рж
Русский жим профессионалы 100 кг.
Краснодар/Краснодарский край 21 - 23 декабря 2018 г.</t>
  </si>
  <si>
    <t>Командный Чемпионат России по рж
Русский жим профессионалы 125 кг.
Краснодар/Краснодарский край 21 - 23 декабря 2018 г.</t>
  </si>
  <si>
    <t>Командный Чемпионат России по рж
Русский жим профессионалы 150 кг.
Краснодар/Краснодарский край 21 - 23 декабря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</si>
</sst>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5" bestFit="1" customWidth="1"/>
    <col min="2" max="2" width="27.875" style="5" customWidth="1"/>
    <col min="3" max="3" width="10.00390625" style="5" customWidth="1"/>
    <col min="4" max="4" width="6.625" style="6" bestFit="1" customWidth="1"/>
    <col min="5" max="5" width="23.75390625" style="5" bestFit="1" customWidth="1"/>
    <col min="6" max="6" width="21.125" style="5" bestFit="1" customWidth="1"/>
    <col min="7" max="7" width="5.625" style="4" bestFit="1" customWidth="1"/>
    <col min="8" max="8" width="7.00390625" style="4" customWidth="1"/>
    <col min="9" max="9" width="6.25390625" style="4" bestFit="1" customWidth="1"/>
    <col min="10" max="10" width="5.625" style="4" bestFit="1" customWidth="1"/>
    <col min="11" max="13" width="7.00390625" style="4" bestFit="1" customWidth="1"/>
    <col min="14" max="14" width="5.625" style="4" bestFit="1" customWidth="1"/>
    <col min="15" max="16" width="7.00390625" style="4" bestFit="1" customWidth="1"/>
    <col min="17" max="17" width="6.25390625" style="4" bestFit="1" customWidth="1"/>
    <col min="18" max="18" width="5.625" style="4" bestFit="1" customWidth="1"/>
    <col min="19" max="19" width="7.875" style="6" bestFit="1" customWidth="1"/>
    <col min="20" max="20" width="8.625" style="7" bestFit="1" customWidth="1"/>
    <col min="21" max="21" width="23.00390625" style="5" bestFit="1" customWidth="1"/>
    <col min="22" max="16384" width="9.125" style="4" customWidth="1"/>
  </cols>
  <sheetData>
    <row r="1" spans="1:21" s="3" customFormat="1" ht="1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6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8" t="s">
        <v>47</v>
      </c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40</v>
      </c>
      <c r="L3" s="37"/>
      <c r="M3" s="37"/>
      <c r="N3" s="37"/>
      <c r="O3" s="37" t="s">
        <v>41</v>
      </c>
      <c r="P3" s="37"/>
      <c r="Q3" s="37"/>
      <c r="R3" s="37"/>
      <c r="S3" s="38" t="s">
        <v>42</v>
      </c>
      <c r="T3" s="38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39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39"/>
      <c r="T4" s="39"/>
      <c r="U4" s="41"/>
    </row>
  </sheetData>
  <sheetProtection/>
  <mergeCells count="13"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1143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1142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1141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4" width="10.625" style="5" bestFit="1" customWidth="1"/>
    <col min="5" max="5" width="22.75390625" style="5" bestFit="1" customWidth="1"/>
    <col min="6" max="6" width="29.75390625" style="5" bestFit="1" customWidth="1"/>
    <col min="7" max="7" width="4.625" style="4" bestFit="1" customWidth="1"/>
    <col min="8" max="8" width="4.625" style="31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1122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 t="s">
        <v>1123</v>
      </c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5" spans="1:10" ht="15">
      <c r="A5" s="53" t="s">
        <v>1124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9" t="s">
        <v>1126</v>
      </c>
      <c r="B6" s="19" t="s">
        <v>1127</v>
      </c>
      <c r="C6" s="19" t="s">
        <v>1128</v>
      </c>
      <c r="D6" s="19" t="str">
        <f>"1,0000"</f>
        <v>1,0000</v>
      </c>
      <c r="E6" s="19" t="s">
        <v>1129</v>
      </c>
      <c r="F6" s="19" t="s">
        <v>125</v>
      </c>
      <c r="G6" s="20" t="s">
        <v>104</v>
      </c>
      <c r="H6" s="29" t="s">
        <v>102</v>
      </c>
      <c r="I6" s="19" t="str">
        <f>"875,0"</f>
        <v>875,0</v>
      </c>
      <c r="J6" s="20" t="str">
        <f>"15,7942"</f>
        <v>15,7942</v>
      </c>
      <c r="K6" s="19" t="s">
        <v>78</v>
      </c>
    </row>
    <row r="7" spans="1:11" ht="12.75">
      <c r="A7" s="22" t="s">
        <v>1131</v>
      </c>
      <c r="B7" s="22" t="s">
        <v>1132</v>
      </c>
      <c r="C7" s="22" t="s">
        <v>1133</v>
      </c>
      <c r="D7" s="22" t="str">
        <f>"1,0000"</f>
        <v>1,0000</v>
      </c>
      <c r="E7" s="22" t="s">
        <v>320</v>
      </c>
      <c r="F7" s="22" t="s">
        <v>125</v>
      </c>
      <c r="G7" s="24" t="s">
        <v>104</v>
      </c>
      <c r="H7" s="30" t="s">
        <v>1134</v>
      </c>
      <c r="I7" s="22" t="str">
        <f>"1330,0"</f>
        <v>1330,0</v>
      </c>
      <c r="J7" s="24" t="str">
        <f>"22,2780"</f>
        <v>22,2780</v>
      </c>
      <c r="K7" s="22" t="s">
        <v>78</v>
      </c>
    </row>
    <row r="9" ht="15">
      <c r="E9" s="8" t="s">
        <v>52</v>
      </c>
    </row>
    <row r="10" ht="15">
      <c r="E10" s="8" t="s">
        <v>53</v>
      </c>
    </row>
    <row r="11" ht="15">
      <c r="E11" s="8" t="s">
        <v>54</v>
      </c>
    </row>
    <row r="12" ht="15">
      <c r="E12" s="8" t="s">
        <v>55</v>
      </c>
    </row>
    <row r="13" ht="15">
      <c r="E13" s="8" t="s">
        <v>55</v>
      </c>
    </row>
    <row r="14" ht="15">
      <c r="E14" s="8" t="s">
        <v>56</v>
      </c>
    </row>
    <row r="15" ht="15">
      <c r="E15" s="8"/>
    </row>
    <row r="17" spans="1:2" ht="18">
      <c r="A17" s="9" t="s">
        <v>57</v>
      </c>
      <c r="B17" s="9"/>
    </row>
    <row r="18" spans="1:2" ht="15">
      <c r="A18" s="13" t="s">
        <v>341</v>
      </c>
      <c r="B18" s="13"/>
    </row>
    <row r="19" spans="1:2" ht="14.25">
      <c r="A19" s="15"/>
      <c r="B19" s="16" t="s">
        <v>80</v>
      </c>
    </row>
    <row r="20" spans="1:5" ht="15">
      <c r="A20" s="17" t="s">
        <v>81</v>
      </c>
      <c r="B20" s="17" t="s">
        <v>82</v>
      </c>
      <c r="C20" s="17" t="s">
        <v>83</v>
      </c>
      <c r="D20" s="17" t="s">
        <v>84</v>
      </c>
      <c r="E20" s="17" t="s">
        <v>1135</v>
      </c>
    </row>
    <row r="21" spans="1:5" ht="12.75">
      <c r="A21" s="14" t="s">
        <v>1125</v>
      </c>
      <c r="B21" s="5" t="s">
        <v>80</v>
      </c>
      <c r="C21" s="5" t="s">
        <v>1136</v>
      </c>
      <c r="D21" s="5" t="s">
        <v>1137</v>
      </c>
      <c r="E21" s="18" t="s">
        <v>1138</v>
      </c>
    </row>
    <row r="23" spans="1:2" ht="14.25">
      <c r="A23" s="15"/>
      <c r="B23" s="16" t="s">
        <v>404</v>
      </c>
    </row>
    <row r="24" spans="1:5" ht="15">
      <c r="A24" s="17" t="s">
        <v>81</v>
      </c>
      <c r="B24" s="17" t="s">
        <v>82</v>
      </c>
      <c r="C24" s="17" t="s">
        <v>83</v>
      </c>
      <c r="D24" s="17" t="s">
        <v>84</v>
      </c>
      <c r="E24" s="17" t="s">
        <v>1135</v>
      </c>
    </row>
    <row r="25" spans="1:5" ht="12.75">
      <c r="A25" s="14" t="s">
        <v>1130</v>
      </c>
      <c r="B25" s="5" t="s">
        <v>701</v>
      </c>
      <c r="C25" s="5" t="s">
        <v>1136</v>
      </c>
      <c r="D25" s="5" t="s">
        <v>1139</v>
      </c>
      <c r="E25" s="18" t="s">
        <v>1140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1121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10.75390625" style="5" bestFit="1" customWidth="1"/>
    <col min="5" max="5" width="24.625" style="5" bestFit="1" customWidth="1"/>
    <col min="6" max="6" width="29.75390625" style="5" bestFit="1" customWidth="1"/>
    <col min="7" max="7" width="5.875" style="4" bestFit="1" customWidth="1"/>
    <col min="8" max="8" width="4.625" style="31" bestFit="1" customWidth="1"/>
    <col min="9" max="9" width="7.875" style="5" bestFit="1" customWidth="1"/>
    <col min="10" max="10" width="9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1102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 t="s">
        <v>1083</v>
      </c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5" spans="1:10" ht="15">
      <c r="A5" s="53" t="s">
        <v>270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0" t="s">
        <v>1104</v>
      </c>
      <c r="B6" s="10" t="s">
        <v>1105</v>
      </c>
      <c r="C6" s="10" t="s">
        <v>1106</v>
      </c>
      <c r="D6" s="10" t="str">
        <f>"0,6830"</f>
        <v>0,6830</v>
      </c>
      <c r="E6" s="34" t="s">
        <v>32</v>
      </c>
      <c r="F6" s="10" t="s">
        <v>1107</v>
      </c>
      <c r="G6" s="11" t="s">
        <v>1108</v>
      </c>
      <c r="H6" s="32" t="s">
        <v>1109</v>
      </c>
      <c r="I6" s="10" t="str">
        <f>"3022,5"</f>
        <v>3022,5</v>
      </c>
      <c r="J6" s="11" t="str">
        <f>"2064,3676"</f>
        <v>2064,3676</v>
      </c>
      <c r="K6" s="10" t="s">
        <v>78</v>
      </c>
    </row>
    <row r="8" spans="1:10" ht="15">
      <c r="A8" s="55" t="s">
        <v>63</v>
      </c>
      <c r="B8" s="56"/>
      <c r="C8" s="56"/>
      <c r="D8" s="56"/>
      <c r="E8" s="56"/>
      <c r="F8" s="56"/>
      <c r="G8" s="56"/>
      <c r="H8" s="56"/>
      <c r="I8" s="56"/>
      <c r="J8" s="56"/>
    </row>
    <row r="9" spans="1:11" ht="12.75">
      <c r="A9" s="10" t="s">
        <v>713</v>
      </c>
      <c r="B9" s="10" t="s">
        <v>714</v>
      </c>
      <c r="C9" s="10" t="s">
        <v>715</v>
      </c>
      <c r="D9" s="10" t="str">
        <f>"0,6523"</f>
        <v>0,6523</v>
      </c>
      <c r="E9" s="10" t="s">
        <v>182</v>
      </c>
      <c r="F9" s="10" t="s">
        <v>183</v>
      </c>
      <c r="G9" s="11" t="s">
        <v>86</v>
      </c>
      <c r="H9" s="32" t="s">
        <v>1109</v>
      </c>
      <c r="I9" s="10" t="str">
        <f>"3410,0"</f>
        <v>3410,0</v>
      </c>
      <c r="J9" s="11" t="str">
        <f>"2224,3430"</f>
        <v>2224,3430</v>
      </c>
      <c r="K9" s="10" t="s">
        <v>78</v>
      </c>
    </row>
    <row r="11" spans="1:10" ht="15">
      <c r="A11" s="55" t="s">
        <v>327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1" ht="12.75">
      <c r="A12" s="10" t="s">
        <v>1111</v>
      </c>
      <c r="B12" s="10" t="s">
        <v>1112</v>
      </c>
      <c r="C12" s="10" t="s">
        <v>1113</v>
      </c>
      <c r="D12" s="10" t="str">
        <f>"0,7002"</f>
        <v>0,7002</v>
      </c>
      <c r="E12" s="10" t="s">
        <v>320</v>
      </c>
      <c r="F12" s="10" t="s">
        <v>125</v>
      </c>
      <c r="G12" s="11" t="s">
        <v>267</v>
      </c>
      <c r="H12" s="32" t="s">
        <v>1114</v>
      </c>
      <c r="I12" s="10" t="str">
        <f>"1912,5"</f>
        <v>1912,5</v>
      </c>
      <c r="J12" s="11" t="str">
        <f>"1339,1325"</f>
        <v>1339,1325</v>
      </c>
      <c r="K12" s="10" t="s">
        <v>78</v>
      </c>
    </row>
    <row r="14" ht="15">
      <c r="E14" s="8" t="s">
        <v>52</v>
      </c>
    </row>
    <row r="15" ht="15">
      <c r="E15" s="8" t="s">
        <v>53</v>
      </c>
    </row>
    <row r="16" ht="15">
      <c r="E16" s="8" t="s">
        <v>54</v>
      </c>
    </row>
    <row r="17" ht="15">
      <c r="E17" s="8" t="s">
        <v>55</v>
      </c>
    </row>
    <row r="18" ht="15">
      <c r="E18" s="8" t="s">
        <v>55</v>
      </c>
    </row>
    <row r="19" ht="15">
      <c r="E19" s="8" t="s">
        <v>56</v>
      </c>
    </row>
    <row r="20" ht="15">
      <c r="E20" s="8"/>
    </row>
    <row r="22" spans="1:2" ht="18">
      <c r="A22" s="9" t="s">
        <v>57</v>
      </c>
      <c r="B22" s="9"/>
    </row>
    <row r="23" spans="1:2" ht="15">
      <c r="A23" s="13" t="s">
        <v>79</v>
      </c>
      <c r="B23" s="13"/>
    </row>
    <row r="24" spans="1:2" ht="14.25">
      <c r="A24" s="15"/>
      <c r="B24" s="16" t="s">
        <v>80</v>
      </c>
    </row>
    <row r="25" spans="1:5" ht="15">
      <c r="A25" s="17" t="s">
        <v>81</v>
      </c>
      <c r="B25" s="17" t="s">
        <v>82</v>
      </c>
      <c r="C25" s="17" t="s">
        <v>83</v>
      </c>
      <c r="D25" s="17" t="s">
        <v>84</v>
      </c>
      <c r="E25" s="17" t="s">
        <v>1088</v>
      </c>
    </row>
    <row r="26" spans="1:5" ht="12.75">
      <c r="A26" s="14" t="s">
        <v>712</v>
      </c>
      <c r="B26" s="5" t="s">
        <v>80</v>
      </c>
      <c r="C26" s="5" t="s">
        <v>86</v>
      </c>
      <c r="D26" s="5" t="s">
        <v>1115</v>
      </c>
      <c r="E26" s="18" t="s">
        <v>1116</v>
      </c>
    </row>
    <row r="27" spans="1:5" ht="12.75">
      <c r="A27" s="14" t="s">
        <v>1103</v>
      </c>
      <c r="B27" s="5" t="s">
        <v>80</v>
      </c>
      <c r="C27" s="5" t="s">
        <v>133</v>
      </c>
      <c r="D27" s="5" t="s">
        <v>1117</v>
      </c>
      <c r="E27" s="18" t="s">
        <v>1118</v>
      </c>
    </row>
    <row r="29" spans="1:2" ht="14.25">
      <c r="A29" s="15"/>
      <c r="B29" s="16" t="s">
        <v>404</v>
      </c>
    </row>
    <row r="30" spans="1:5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1088</v>
      </c>
    </row>
    <row r="31" spans="1:5" ht="12.75">
      <c r="A31" s="14" t="s">
        <v>1110</v>
      </c>
      <c r="B31" s="5" t="s">
        <v>701</v>
      </c>
      <c r="C31" s="5" t="s">
        <v>268</v>
      </c>
      <c r="D31" s="5" t="s">
        <v>1119</v>
      </c>
      <c r="E31" s="18" t="s">
        <v>1120</v>
      </c>
    </row>
  </sheetData>
  <sheetProtection/>
  <mergeCells count="14">
    <mergeCell ref="A8:J8"/>
    <mergeCell ref="A11:J11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1101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29.75390625" style="5" bestFit="1" customWidth="1"/>
    <col min="7" max="7" width="5.625" style="4" bestFit="1" customWidth="1"/>
    <col min="8" max="8" width="4.625" style="31" bestFit="1" customWidth="1"/>
    <col min="9" max="9" width="7.875" style="5" bestFit="1" customWidth="1"/>
    <col min="10" max="10" width="9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1082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 t="s">
        <v>1083</v>
      </c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5" spans="1:10" ht="15">
      <c r="A5" s="53" t="s">
        <v>247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9" t="s">
        <v>594</v>
      </c>
      <c r="B6" s="19" t="s">
        <v>595</v>
      </c>
      <c r="C6" s="19" t="s">
        <v>596</v>
      </c>
      <c r="D6" s="19" t="str">
        <f>"0,7299"</f>
        <v>0,7299</v>
      </c>
      <c r="E6" s="19" t="s">
        <v>124</v>
      </c>
      <c r="F6" s="19" t="s">
        <v>125</v>
      </c>
      <c r="G6" s="20" t="s">
        <v>131</v>
      </c>
      <c r="H6" s="29" t="s">
        <v>1084</v>
      </c>
      <c r="I6" s="19" t="str">
        <f>"2610,0"</f>
        <v>2610,0</v>
      </c>
      <c r="J6" s="20" t="str">
        <f>"1905,0390"</f>
        <v>1905,0390</v>
      </c>
      <c r="K6" s="19" t="s">
        <v>78</v>
      </c>
    </row>
    <row r="7" spans="1:11" ht="12.75">
      <c r="A7" s="22" t="s">
        <v>598</v>
      </c>
      <c r="B7" s="22" t="s">
        <v>599</v>
      </c>
      <c r="C7" s="22" t="s">
        <v>600</v>
      </c>
      <c r="D7" s="22" t="str">
        <f>"0,7137"</f>
        <v>0,7137</v>
      </c>
      <c r="E7" s="22" t="s">
        <v>601</v>
      </c>
      <c r="F7" s="22" t="s">
        <v>125</v>
      </c>
      <c r="G7" s="24" t="s">
        <v>131</v>
      </c>
      <c r="H7" s="30" t="s">
        <v>1085</v>
      </c>
      <c r="I7" s="22" t="str">
        <f>"2880,0"</f>
        <v>2880,0</v>
      </c>
      <c r="J7" s="24" t="str">
        <f>"2055,4560"</f>
        <v>2055,4560</v>
      </c>
      <c r="K7" s="22" t="s">
        <v>78</v>
      </c>
    </row>
    <row r="9" spans="1:10" ht="15">
      <c r="A9" s="55" t="s">
        <v>63</v>
      </c>
      <c r="B9" s="56"/>
      <c r="C9" s="56"/>
      <c r="D9" s="56"/>
      <c r="E9" s="56"/>
      <c r="F9" s="56"/>
      <c r="G9" s="56"/>
      <c r="H9" s="56"/>
      <c r="I9" s="56"/>
      <c r="J9" s="56"/>
    </row>
    <row r="10" spans="1:11" ht="12.75">
      <c r="A10" s="19" t="s">
        <v>638</v>
      </c>
      <c r="B10" s="19" t="s">
        <v>639</v>
      </c>
      <c r="C10" s="19" t="s">
        <v>640</v>
      </c>
      <c r="D10" s="19" t="str">
        <f>"0,6955"</f>
        <v>0,6955</v>
      </c>
      <c r="E10" s="19" t="s">
        <v>124</v>
      </c>
      <c r="F10" s="19" t="s">
        <v>125</v>
      </c>
      <c r="G10" s="20" t="s">
        <v>143</v>
      </c>
      <c r="H10" s="29" t="s">
        <v>1086</v>
      </c>
      <c r="I10" s="19" t="str">
        <f>"2357,5"</f>
        <v>2357,5</v>
      </c>
      <c r="J10" s="20" t="str">
        <f>"1639,6413"</f>
        <v>1639,6413</v>
      </c>
      <c r="K10" s="19" t="s">
        <v>78</v>
      </c>
    </row>
    <row r="11" spans="1:11" ht="12.75">
      <c r="A11" s="22" t="s">
        <v>646</v>
      </c>
      <c r="B11" s="22" t="s">
        <v>647</v>
      </c>
      <c r="C11" s="22" t="s">
        <v>648</v>
      </c>
      <c r="D11" s="22" t="str">
        <f>"0,6440"</f>
        <v>0,6440</v>
      </c>
      <c r="E11" s="22" t="s">
        <v>649</v>
      </c>
      <c r="F11" s="22" t="s">
        <v>275</v>
      </c>
      <c r="G11" s="24" t="s">
        <v>86</v>
      </c>
      <c r="H11" s="30" t="s">
        <v>1087</v>
      </c>
      <c r="I11" s="22" t="str">
        <f>"2090,0"</f>
        <v>2090,0</v>
      </c>
      <c r="J11" s="24" t="str">
        <f>"1345,9600"</f>
        <v>1345,9600</v>
      </c>
      <c r="K11" s="22" t="s">
        <v>78</v>
      </c>
    </row>
    <row r="13" ht="15">
      <c r="E13" s="8" t="s">
        <v>52</v>
      </c>
    </row>
    <row r="14" ht="15">
      <c r="E14" s="8" t="s">
        <v>53</v>
      </c>
    </row>
    <row r="15" ht="15">
      <c r="E15" s="8" t="s">
        <v>54</v>
      </c>
    </row>
    <row r="16" ht="15">
      <c r="E16" s="8" t="s">
        <v>55</v>
      </c>
    </row>
    <row r="17" ht="15">
      <c r="E17" s="8" t="s">
        <v>55</v>
      </c>
    </row>
    <row r="18" ht="15">
      <c r="E18" s="8" t="s">
        <v>56</v>
      </c>
    </row>
    <row r="19" ht="15">
      <c r="E19" s="8"/>
    </row>
    <row r="21" spans="1:2" ht="18">
      <c r="A21" s="9" t="s">
        <v>57</v>
      </c>
      <c r="B21" s="9"/>
    </row>
    <row r="22" spans="1:2" ht="15">
      <c r="A22" s="13" t="s">
        <v>79</v>
      </c>
      <c r="B22" s="13"/>
    </row>
    <row r="23" spans="1:2" ht="14.25">
      <c r="A23" s="15"/>
      <c r="B23" s="16" t="s">
        <v>372</v>
      </c>
    </row>
    <row r="24" spans="1:5" ht="15">
      <c r="A24" s="17" t="s">
        <v>81</v>
      </c>
      <c r="B24" s="17" t="s">
        <v>82</v>
      </c>
      <c r="C24" s="17" t="s">
        <v>83</v>
      </c>
      <c r="D24" s="17" t="s">
        <v>84</v>
      </c>
      <c r="E24" s="17" t="s">
        <v>1088</v>
      </c>
    </row>
    <row r="25" spans="1:5" ht="12.75">
      <c r="A25" s="14" t="s">
        <v>593</v>
      </c>
      <c r="B25" s="5" t="s">
        <v>348</v>
      </c>
      <c r="C25" s="5" t="s">
        <v>131</v>
      </c>
      <c r="D25" s="5" t="s">
        <v>1089</v>
      </c>
      <c r="E25" s="18" t="s">
        <v>1090</v>
      </c>
    </row>
    <row r="27" spans="1:2" ht="14.25">
      <c r="A27" s="15"/>
      <c r="B27" s="16" t="s">
        <v>80</v>
      </c>
    </row>
    <row r="28" spans="1:5" ht="15">
      <c r="A28" s="17" t="s">
        <v>81</v>
      </c>
      <c r="B28" s="17" t="s">
        <v>82</v>
      </c>
      <c r="C28" s="17" t="s">
        <v>83</v>
      </c>
      <c r="D28" s="17" t="s">
        <v>84</v>
      </c>
      <c r="E28" s="17" t="s">
        <v>1088</v>
      </c>
    </row>
    <row r="29" spans="1:5" ht="12.75">
      <c r="A29" s="14" t="s">
        <v>597</v>
      </c>
      <c r="B29" s="5" t="s">
        <v>80</v>
      </c>
      <c r="C29" s="5" t="s">
        <v>131</v>
      </c>
      <c r="D29" s="5" t="s">
        <v>1091</v>
      </c>
      <c r="E29" s="18" t="s">
        <v>1092</v>
      </c>
    </row>
    <row r="31" spans="1:2" ht="14.25">
      <c r="A31" s="15"/>
      <c r="B31" s="16" t="s">
        <v>404</v>
      </c>
    </row>
    <row r="32" spans="1:5" ht="15">
      <c r="A32" s="17" t="s">
        <v>81</v>
      </c>
      <c r="B32" s="17" t="s">
        <v>82</v>
      </c>
      <c r="C32" s="17" t="s">
        <v>83</v>
      </c>
      <c r="D32" s="17" t="s">
        <v>84</v>
      </c>
      <c r="E32" s="17" t="s">
        <v>1088</v>
      </c>
    </row>
    <row r="33" spans="1:5" ht="12.75">
      <c r="A33" s="14" t="s">
        <v>637</v>
      </c>
      <c r="B33" s="5" t="s">
        <v>405</v>
      </c>
      <c r="C33" s="5" t="s">
        <v>86</v>
      </c>
      <c r="D33" s="5" t="s">
        <v>1093</v>
      </c>
      <c r="E33" s="18" t="s">
        <v>1094</v>
      </c>
    </row>
    <row r="34" spans="1:5" ht="12.75">
      <c r="A34" s="14" t="s">
        <v>645</v>
      </c>
      <c r="B34" s="5" t="s">
        <v>701</v>
      </c>
      <c r="C34" s="5" t="s">
        <v>86</v>
      </c>
      <c r="D34" s="5" t="s">
        <v>1095</v>
      </c>
      <c r="E34" s="18" t="s">
        <v>1096</v>
      </c>
    </row>
  </sheetData>
  <sheetProtection/>
  <mergeCells count="13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A9:J9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3" width="2.125" style="4" bestFit="1" customWidth="1"/>
    <col min="14" max="14" width="4.875" style="4" bestFit="1" customWidth="1"/>
    <col min="15" max="15" width="7.875" style="5" bestFit="1" customWidth="1"/>
    <col min="16" max="16" width="6.375" style="4" bestFit="1" customWidth="1"/>
    <col min="17" max="17" width="8.875" style="5" bestFit="1" customWidth="1"/>
    <col min="18" max="16384" width="9.125" style="4" customWidth="1"/>
  </cols>
  <sheetData>
    <row r="1" spans="1:17" s="3" customFormat="1" ht="28.5" customHeight="1">
      <c r="A1" s="52" t="s">
        <v>1081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41</v>
      </c>
      <c r="L3" s="37"/>
      <c r="M3" s="37"/>
      <c r="N3" s="37"/>
      <c r="O3" s="37" t="s">
        <v>42</v>
      </c>
      <c r="P3" s="37" t="s">
        <v>44</v>
      </c>
      <c r="Q3" s="40" t="s">
        <v>43</v>
      </c>
    </row>
    <row r="4" spans="1:17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51"/>
      <c r="P4" s="51"/>
      <c r="Q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2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7.875" style="5" bestFit="1" customWidth="1"/>
    <col min="7" max="9" width="4.625" style="4" bestFit="1" customWidth="1"/>
    <col min="10" max="10" width="4.875" style="4" bestFit="1" customWidth="1"/>
    <col min="11" max="13" width="4.625" style="4" bestFit="1" customWidth="1"/>
    <col min="14" max="14" width="4.875" style="4" bestFit="1" customWidth="1"/>
    <col min="15" max="15" width="7.875" style="5" bestFit="1" customWidth="1"/>
    <col min="16" max="16" width="7.625" style="4" bestFit="1" customWidth="1"/>
    <col min="17" max="17" width="12.125" style="5" bestFit="1" customWidth="1"/>
    <col min="18" max="16384" width="9.125" style="4" customWidth="1"/>
  </cols>
  <sheetData>
    <row r="1" spans="1:17" s="3" customFormat="1" ht="28.5" customHeight="1">
      <c r="A1" s="52" t="s">
        <v>1077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1078</v>
      </c>
      <c r="H3" s="37"/>
      <c r="I3" s="37"/>
      <c r="J3" s="37"/>
      <c r="K3" s="37" t="s">
        <v>1068</v>
      </c>
      <c r="L3" s="37"/>
      <c r="M3" s="37"/>
      <c r="N3" s="37"/>
      <c r="O3" s="37" t="s">
        <v>42</v>
      </c>
      <c r="P3" s="37" t="s">
        <v>44</v>
      </c>
      <c r="Q3" s="40" t="s">
        <v>43</v>
      </c>
    </row>
    <row r="4" spans="1:17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51"/>
      <c r="P4" s="51"/>
      <c r="Q4" s="41"/>
    </row>
    <row r="5" spans="1:16" ht="15">
      <c r="A5" s="53" t="s">
        <v>247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 ht="12.75">
      <c r="A6" s="10" t="s">
        <v>1070</v>
      </c>
      <c r="B6" s="10" t="s">
        <v>1071</v>
      </c>
      <c r="C6" s="10" t="s">
        <v>1072</v>
      </c>
      <c r="D6" s="10" t="str">
        <f>"0,5885"</f>
        <v>0,5885</v>
      </c>
      <c r="E6" s="10" t="s">
        <v>195</v>
      </c>
      <c r="F6" s="10" t="s">
        <v>196</v>
      </c>
      <c r="G6" s="11" t="s">
        <v>355</v>
      </c>
      <c r="H6" s="11" t="s">
        <v>100</v>
      </c>
      <c r="I6" s="11" t="s">
        <v>1079</v>
      </c>
      <c r="J6" s="12"/>
      <c r="K6" s="11" t="s">
        <v>118</v>
      </c>
      <c r="L6" s="11" t="s">
        <v>99</v>
      </c>
      <c r="M6" s="11" t="s">
        <v>355</v>
      </c>
      <c r="N6" s="12"/>
      <c r="O6" s="10" t="str">
        <f>"140,0"</f>
        <v>140,0</v>
      </c>
      <c r="P6" s="11" t="str">
        <f>"82,3900"</f>
        <v>82,3900</v>
      </c>
      <c r="Q6" s="10" t="s">
        <v>1074</v>
      </c>
    </row>
    <row r="8" ht="15">
      <c r="E8" s="8" t="s">
        <v>52</v>
      </c>
    </row>
    <row r="9" ht="15">
      <c r="E9" s="8" t="s">
        <v>53</v>
      </c>
    </row>
    <row r="10" ht="15">
      <c r="E10" s="8" t="s">
        <v>54</v>
      </c>
    </row>
    <row r="11" ht="15">
      <c r="E11" s="8" t="s">
        <v>55</v>
      </c>
    </row>
    <row r="12" ht="15">
      <c r="E12" s="8" t="s">
        <v>55</v>
      </c>
    </row>
    <row r="13" ht="15">
      <c r="E13" s="8" t="s">
        <v>56</v>
      </c>
    </row>
    <row r="14" ht="15">
      <c r="E14" s="8"/>
    </row>
    <row r="16" spans="1:2" ht="18">
      <c r="A16" s="9" t="s">
        <v>57</v>
      </c>
      <c r="B16" s="9"/>
    </row>
    <row r="17" spans="1:2" ht="15">
      <c r="A17" s="13" t="s">
        <v>79</v>
      </c>
      <c r="B17" s="13"/>
    </row>
    <row r="18" spans="1:2" ht="14.25">
      <c r="A18" s="15"/>
      <c r="B18" s="16" t="s">
        <v>80</v>
      </c>
    </row>
    <row r="19" spans="1:5" ht="15">
      <c r="A19" s="17" t="s">
        <v>81</v>
      </c>
      <c r="B19" s="17" t="s">
        <v>82</v>
      </c>
      <c r="C19" s="17" t="s">
        <v>83</v>
      </c>
      <c r="D19" s="17" t="s">
        <v>84</v>
      </c>
      <c r="E19" s="17" t="s">
        <v>85</v>
      </c>
    </row>
    <row r="20" spans="1:5" ht="12.75">
      <c r="A20" s="14" t="s">
        <v>1069</v>
      </c>
      <c r="B20" s="5" t="s">
        <v>80</v>
      </c>
      <c r="C20" s="5" t="s">
        <v>131</v>
      </c>
      <c r="D20" s="5" t="s">
        <v>170</v>
      </c>
      <c r="E20" s="18" t="s">
        <v>1080</v>
      </c>
    </row>
  </sheetData>
  <sheetProtection/>
  <mergeCells count="13"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7.875" style="5" bestFit="1" customWidth="1"/>
    <col min="7" max="7" width="5.875" style="4" bestFit="1" customWidth="1"/>
    <col min="8" max="9" width="4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12.125" style="5" bestFit="1" customWidth="1"/>
    <col min="14" max="16384" width="9.125" style="4" customWidth="1"/>
  </cols>
  <sheetData>
    <row r="1" spans="1:13" s="3" customFormat="1" ht="28.5" customHeight="1">
      <c r="A1" s="52" t="s">
        <v>1067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1068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247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1070</v>
      </c>
      <c r="B6" s="10" t="s">
        <v>1071</v>
      </c>
      <c r="C6" s="10" t="s">
        <v>1072</v>
      </c>
      <c r="D6" s="10" t="str">
        <f>"0,5885"</f>
        <v>0,5885</v>
      </c>
      <c r="E6" s="34" t="s">
        <v>33</v>
      </c>
      <c r="F6" s="10" t="s">
        <v>196</v>
      </c>
      <c r="G6" s="11" t="s">
        <v>1073</v>
      </c>
      <c r="H6" s="11" t="s">
        <v>99</v>
      </c>
      <c r="I6" s="11" t="s">
        <v>355</v>
      </c>
      <c r="J6" s="12"/>
      <c r="K6" s="10" t="str">
        <f>"67,5"</f>
        <v>67,5</v>
      </c>
      <c r="L6" s="11" t="str">
        <f>"39,7238"</f>
        <v>39,7238</v>
      </c>
      <c r="M6" s="10" t="s">
        <v>1074</v>
      </c>
    </row>
    <row r="8" ht="15">
      <c r="E8" s="8" t="s">
        <v>52</v>
      </c>
    </row>
    <row r="9" ht="15">
      <c r="E9" s="8" t="s">
        <v>53</v>
      </c>
    </row>
    <row r="10" ht="15">
      <c r="E10" s="8" t="s">
        <v>54</v>
      </c>
    </row>
    <row r="11" ht="15">
      <c r="E11" s="8" t="s">
        <v>55</v>
      </c>
    </row>
    <row r="12" ht="15">
      <c r="E12" s="8" t="s">
        <v>55</v>
      </c>
    </row>
    <row r="13" ht="15">
      <c r="E13" s="8" t="s">
        <v>56</v>
      </c>
    </row>
    <row r="14" ht="15">
      <c r="E14" s="8"/>
    </row>
    <row r="16" spans="1:2" ht="18">
      <c r="A16" s="9" t="s">
        <v>57</v>
      </c>
      <c r="B16" s="9"/>
    </row>
    <row r="17" spans="1:2" ht="15">
      <c r="A17" s="13" t="s">
        <v>79</v>
      </c>
      <c r="B17" s="13"/>
    </row>
    <row r="18" spans="1:2" ht="14.25">
      <c r="A18" s="15"/>
      <c r="B18" s="16" t="s">
        <v>80</v>
      </c>
    </row>
    <row r="19" spans="1:5" ht="15">
      <c r="A19" s="17" t="s">
        <v>81</v>
      </c>
      <c r="B19" s="17" t="s">
        <v>82</v>
      </c>
      <c r="C19" s="17" t="s">
        <v>83</v>
      </c>
      <c r="D19" s="17" t="s">
        <v>84</v>
      </c>
      <c r="E19" s="17" t="s">
        <v>85</v>
      </c>
    </row>
    <row r="20" spans="1:5" ht="12.75">
      <c r="A20" s="14" t="s">
        <v>1069</v>
      </c>
      <c r="B20" s="5" t="s">
        <v>80</v>
      </c>
      <c r="C20" s="5" t="s">
        <v>131</v>
      </c>
      <c r="D20" s="5" t="s">
        <v>355</v>
      </c>
      <c r="E20" s="18" t="s">
        <v>1075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3" width="2.125" style="4" bestFit="1" customWidth="1"/>
    <col min="14" max="14" width="4.875" style="4" bestFit="1" customWidth="1"/>
    <col min="15" max="15" width="7.875" style="5" bestFit="1" customWidth="1"/>
    <col min="16" max="16" width="6.375" style="4" bestFit="1" customWidth="1"/>
    <col min="17" max="17" width="8.875" style="5" bestFit="1" customWidth="1"/>
    <col min="18" max="16384" width="9.125" style="4" customWidth="1"/>
  </cols>
  <sheetData>
    <row r="1" spans="1:17" s="3" customFormat="1" ht="28.5" customHeight="1">
      <c r="A1" s="52" t="s">
        <v>1064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41</v>
      </c>
      <c r="L3" s="37"/>
      <c r="M3" s="37"/>
      <c r="N3" s="37"/>
      <c r="O3" s="37" t="s">
        <v>42</v>
      </c>
      <c r="P3" s="37" t="s">
        <v>44</v>
      </c>
      <c r="Q3" s="40" t="s">
        <v>43</v>
      </c>
    </row>
    <row r="4" spans="1:17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51"/>
      <c r="P4" s="51"/>
      <c r="Q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2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3" width="2.125" style="4" bestFit="1" customWidth="1"/>
    <col min="14" max="14" width="4.875" style="4" bestFit="1" customWidth="1"/>
    <col min="15" max="15" width="7.875" style="5" bestFit="1" customWidth="1"/>
    <col min="16" max="16" width="6.375" style="4" bestFit="1" customWidth="1"/>
    <col min="17" max="17" width="8.875" style="5" bestFit="1" customWidth="1"/>
    <col min="18" max="16384" width="9.125" style="4" customWidth="1"/>
  </cols>
  <sheetData>
    <row r="1" spans="1:17" s="3" customFormat="1" ht="28.5" customHeight="1">
      <c r="A1" s="52" t="s">
        <v>1063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41</v>
      </c>
      <c r="L3" s="37"/>
      <c r="M3" s="37"/>
      <c r="N3" s="37"/>
      <c r="O3" s="37" t="s">
        <v>42</v>
      </c>
      <c r="P3" s="37" t="s">
        <v>44</v>
      </c>
      <c r="Q3" s="40" t="s">
        <v>43</v>
      </c>
    </row>
    <row r="4" spans="1:17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51"/>
      <c r="P4" s="51"/>
      <c r="Q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2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3.3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144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1052</v>
      </c>
      <c r="B6" s="10" t="s">
        <v>1053</v>
      </c>
      <c r="C6" s="10" t="s">
        <v>1054</v>
      </c>
      <c r="D6" s="10" t="str">
        <f>"0,7954"</f>
        <v>0,7954</v>
      </c>
      <c r="E6" s="10" t="s">
        <v>830</v>
      </c>
      <c r="F6" s="10" t="s">
        <v>750</v>
      </c>
      <c r="G6" s="11" t="s">
        <v>143</v>
      </c>
      <c r="H6" s="12" t="s">
        <v>151</v>
      </c>
      <c r="I6" s="11" t="s">
        <v>151</v>
      </c>
      <c r="J6" s="12"/>
      <c r="K6" s="10" t="str">
        <f>"107,5"</f>
        <v>107,5</v>
      </c>
      <c r="L6" s="11" t="str">
        <f>"88,0651"</f>
        <v>88,0651</v>
      </c>
      <c r="M6" s="10" t="s">
        <v>78</v>
      </c>
    </row>
    <row r="8" spans="1:12" ht="15">
      <c r="A8" s="55" t="s">
        <v>270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0" t="s">
        <v>1056</v>
      </c>
      <c r="B9" s="10" t="s">
        <v>1057</v>
      </c>
      <c r="C9" s="10" t="s">
        <v>1058</v>
      </c>
      <c r="D9" s="10" t="str">
        <f>"0,5710"</f>
        <v>0,5710</v>
      </c>
      <c r="E9" s="10" t="s">
        <v>1059</v>
      </c>
      <c r="F9" s="10" t="s">
        <v>125</v>
      </c>
      <c r="G9" s="12" t="s">
        <v>293</v>
      </c>
      <c r="H9" s="11" t="s">
        <v>286</v>
      </c>
      <c r="I9" s="12" t="s">
        <v>308</v>
      </c>
      <c r="J9" s="12"/>
      <c r="K9" s="10" t="str">
        <f>"235,0"</f>
        <v>235,0</v>
      </c>
      <c r="L9" s="11" t="str">
        <f>"144,9198"</f>
        <v>144,9198</v>
      </c>
      <c r="M9" s="10" t="s">
        <v>78</v>
      </c>
    </row>
    <row r="11" ht="15">
      <c r="E11" s="8" t="s">
        <v>52</v>
      </c>
    </row>
    <row r="12" ht="15">
      <c r="E12" s="8" t="s">
        <v>53</v>
      </c>
    </row>
    <row r="13" ht="15">
      <c r="E13" s="8" t="s">
        <v>54</v>
      </c>
    </row>
    <row r="14" ht="15">
      <c r="E14" s="8" t="s">
        <v>55</v>
      </c>
    </row>
    <row r="15" ht="15">
      <c r="E15" s="8" t="s">
        <v>55</v>
      </c>
    </row>
    <row r="16" ht="15">
      <c r="E16" s="8" t="s">
        <v>56</v>
      </c>
    </row>
    <row r="17" ht="15">
      <c r="E17" s="8"/>
    </row>
    <row r="19" spans="1:2" ht="18">
      <c r="A19" s="9" t="s">
        <v>57</v>
      </c>
      <c r="B19" s="9"/>
    </row>
    <row r="20" spans="1:2" ht="15">
      <c r="A20" s="13" t="s">
        <v>341</v>
      </c>
      <c r="B20" s="13"/>
    </row>
    <row r="21" spans="1:2" ht="14.25">
      <c r="A21" s="15"/>
      <c r="B21" s="16" t="s">
        <v>347</v>
      </c>
    </row>
    <row r="22" spans="1:5" ht="15">
      <c r="A22" s="17" t="s">
        <v>81</v>
      </c>
      <c r="B22" s="17" t="s">
        <v>82</v>
      </c>
      <c r="C22" s="17" t="s">
        <v>83</v>
      </c>
      <c r="D22" s="17" t="s">
        <v>84</v>
      </c>
      <c r="E22" s="17" t="s">
        <v>85</v>
      </c>
    </row>
    <row r="23" spans="1:5" ht="12.75">
      <c r="A23" s="14" t="s">
        <v>1051</v>
      </c>
      <c r="B23" s="5" t="s">
        <v>348</v>
      </c>
      <c r="C23" s="5" t="s">
        <v>355</v>
      </c>
      <c r="D23" s="5" t="s">
        <v>151</v>
      </c>
      <c r="E23" s="18" t="s">
        <v>1060</v>
      </c>
    </row>
    <row r="26" spans="1:2" ht="15">
      <c r="A26" s="13" t="s">
        <v>79</v>
      </c>
      <c r="B26" s="13"/>
    </row>
    <row r="27" spans="1:2" ht="14.25">
      <c r="A27" s="15"/>
      <c r="B27" s="16" t="s">
        <v>360</v>
      </c>
    </row>
    <row r="28" spans="1:5" ht="15">
      <c r="A28" s="17" t="s">
        <v>81</v>
      </c>
      <c r="B28" s="17" t="s">
        <v>82</v>
      </c>
      <c r="C28" s="17" t="s">
        <v>83</v>
      </c>
      <c r="D28" s="17" t="s">
        <v>84</v>
      </c>
      <c r="E28" s="17" t="s">
        <v>85</v>
      </c>
    </row>
    <row r="29" spans="1:5" ht="12.75">
      <c r="A29" s="14" t="s">
        <v>1055</v>
      </c>
      <c r="B29" s="5" t="s">
        <v>364</v>
      </c>
      <c r="C29" s="5" t="s">
        <v>133</v>
      </c>
      <c r="D29" s="5" t="s">
        <v>286</v>
      </c>
      <c r="E29" s="18" t="s">
        <v>1061</v>
      </c>
    </row>
  </sheetData>
  <sheetProtection/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7.75390625" style="5" bestFit="1" customWidth="1"/>
    <col min="3" max="3" width="10.625" style="5" bestFit="1" customWidth="1"/>
    <col min="4" max="4" width="9.25390625" style="5" bestFit="1" customWidth="1"/>
    <col min="5" max="5" width="24.625" style="5" bestFit="1" customWidth="1"/>
    <col min="6" max="6" width="17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9.75390625" style="5" bestFit="1" customWidth="1"/>
    <col min="14" max="16384" width="9.125" style="4" customWidth="1"/>
  </cols>
  <sheetData>
    <row r="1" spans="1:13" s="3" customFormat="1" ht="28.5" customHeight="1">
      <c r="A1" s="52" t="s">
        <v>1042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521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1044</v>
      </c>
      <c r="B6" s="10" t="s">
        <v>1045</v>
      </c>
      <c r="C6" s="10" t="s">
        <v>1046</v>
      </c>
      <c r="D6" s="10" t="str">
        <f>"0,9485"</f>
        <v>0,9485</v>
      </c>
      <c r="E6" s="10" t="s">
        <v>413</v>
      </c>
      <c r="F6" s="10" t="s">
        <v>414</v>
      </c>
      <c r="G6" s="11" t="s">
        <v>130</v>
      </c>
      <c r="H6" s="11" t="s">
        <v>99</v>
      </c>
      <c r="I6" s="12" t="s">
        <v>100</v>
      </c>
      <c r="J6" s="12"/>
      <c r="K6" s="10" t="str">
        <f>"65,0"</f>
        <v>65,0</v>
      </c>
      <c r="L6" s="11" t="str">
        <f>"61,6493"</f>
        <v>61,6493</v>
      </c>
      <c r="M6" s="10" t="s">
        <v>78</v>
      </c>
    </row>
    <row r="8" spans="1:12" ht="15">
      <c r="A8" s="55" t="s">
        <v>159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0" t="s">
        <v>410</v>
      </c>
      <c r="B9" s="10" t="s">
        <v>411</v>
      </c>
      <c r="C9" s="10" t="s">
        <v>412</v>
      </c>
      <c r="D9" s="10" t="str">
        <f>"0,7362"</f>
        <v>0,7362</v>
      </c>
      <c r="E9" s="10" t="s">
        <v>413</v>
      </c>
      <c r="F9" s="10" t="s">
        <v>414</v>
      </c>
      <c r="G9" s="11" t="s">
        <v>100</v>
      </c>
      <c r="H9" s="11" t="s">
        <v>186</v>
      </c>
      <c r="I9" s="12"/>
      <c r="J9" s="12"/>
      <c r="K9" s="10" t="str">
        <f>"80,0"</f>
        <v>80,0</v>
      </c>
      <c r="L9" s="11" t="str">
        <f>"58,8920"</f>
        <v>58,8920</v>
      </c>
      <c r="M9" s="10" t="s">
        <v>78</v>
      </c>
    </row>
    <row r="11" spans="1:12" ht="15">
      <c r="A11" s="55" t="s">
        <v>214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ht="12.75">
      <c r="A12" s="10" t="s">
        <v>421</v>
      </c>
      <c r="B12" s="10" t="s">
        <v>422</v>
      </c>
      <c r="C12" s="10" t="s">
        <v>423</v>
      </c>
      <c r="D12" s="10" t="str">
        <f>"0,6268"</f>
        <v>0,6268</v>
      </c>
      <c r="E12" s="10" t="s">
        <v>182</v>
      </c>
      <c r="F12" s="10" t="s">
        <v>183</v>
      </c>
      <c r="G12" s="11" t="s">
        <v>209</v>
      </c>
      <c r="H12" s="11" t="s">
        <v>210</v>
      </c>
      <c r="I12" s="11" t="s">
        <v>293</v>
      </c>
      <c r="J12" s="12"/>
      <c r="K12" s="10" t="str">
        <f>"225,0"</f>
        <v>225,0</v>
      </c>
      <c r="L12" s="11" t="str">
        <f>"146,6712"</f>
        <v>146,6712</v>
      </c>
      <c r="M12" s="10" t="s">
        <v>424</v>
      </c>
    </row>
    <row r="14" ht="15">
      <c r="E14" s="8" t="s">
        <v>52</v>
      </c>
    </row>
    <row r="15" ht="15">
      <c r="E15" s="8" t="s">
        <v>53</v>
      </c>
    </row>
    <row r="16" ht="15">
      <c r="E16" s="8" t="s">
        <v>54</v>
      </c>
    </row>
    <row r="17" ht="15">
      <c r="E17" s="8" t="s">
        <v>55</v>
      </c>
    </row>
    <row r="18" ht="15">
      <c r="E18" s="8" t="s">
        <v>55</v>
      </c>
    </row>
    <row r="19" ht="15">
      <c r="E19" s="8" t="s">
        <v>56</v>
      </c>
    </row>
    <row r="20" ht="15">
      <c r="E20" s="8"/>
    </row>
    <row r="22" spans="1:2" ht="18">
      <c r="A22" s="9" t="s">
        <v>57</v>
      </c>
      <c r="B22" s="9"/>
    </row>
    <row r="23" spans="1:2" ht="15">
      <c r="A23" s="13" t="s">
        <v>341</v>
      </c>
      <c r="B23" s="13"/>
    </row>
    <row r="24" spans="1:2" ht="14.25">
      <c r="A24" s="15"/>
      <c r="B24" s="16" t="s">
        <v>80</v>
      </c>
    </row>
    <row r="25" spans="1:5" ht="15">
      <c r="A25" s="17" t="s">
        <v>81</v>
      </c>
      <c r="B25" s="17" t="s">
        <v>82</v>
      </c>
      <c r="C25" s="17" t="s">
        <v>83</v>
      </c>
      <c r="D25" s="17" t="s">
        <v>84</v>
      </c>
      <c r="E25" s="17" t="s">
        <v>85</v>
      </c>
    </row>
    <row r="26" spans="1:5" ht="12.75">
      <c r="A26" s="14" t="s">
        <v>1043</v>
      </c>
      <c r="B26" s="5" t="s">
        <v>80</v>
      </c>
      <c r="C26" s="5" t="s">
        <v>667</v>
      </c>
      <c r="D26" s="5" t="s">
        <v>99</v>
      </c>
      <c r="E26" s="18" t="s">
        <v>1047</v>
      </c>
    </row>
    <row r="27" spans="1:5" ht="12.75">
      <c r="A27" s="14" t="s">
        <v>409</v>
      </c>
      <c r="B27" s="5" t="s">
        <v>80</v>
      </c>
      <c r="C27" s="5" t="s">
        <v>101</v>
      </c>
      <c r="D27" s="5" t="s">
        <v>186</v>
      </c>
      <c r="E27" s="18" t="s">
        <v>1048</v>
      </c>
    </row>
    <row r="30" spans="1:2" ht="15">
      <c r="A30" s="13" t="s">
        <v>79</v>
      </c>
      <c r="B30" s="13"/>
    </row>
    <row r="31" spans="1:2" ht="14.25">
      <c r="A31" s="15"/>
      <c r="B31" s="16" t="s">
        <v>360</v>
      </c>
    </row>
    <row r="32" spans="1:5" ht="15">
      <c r="A32" s="17" t="s">
        <v>81</v>
      </c>
      <c r="B32" s="17" t="s">
        <v>82</v>
      </c>
      <c r="C32" s="17" t="s">
        <v>83</v>
      </c>
      <c r="D32" s="17" t="s">
        <v>84</v>
      </c>
      <c r="E32" s="17" t="s">
        <v>85</v>
      </c>
    </row>
    <row r="33" spans="1:5" ht="12.75">
      <c r="A33" s="14" t="s">
        <v>420</v>
      </c>
      <c r="B33" s="5" t="s">
        <v>367</v>
      </c>
      <c r="C33" s="5" t="s">
        <v>105</v>
      </c>
      <c r="D33" s="5" t="s">
        <v>293</v>
      </c>
      <c r="E33" s="18" t="s">
        <v>1049</v>
      </c>
    </row>
  </sheetData>
  <sheetProtection/>
  <mergeCells count="14">
    <mergeCell ref="A8:L8"/>
    <mergeCell ref="A11:L11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4.625" style="5" bestFit="1" customWidth="1"/>
    <col min="6" max="6" width="17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5.75390625" style="5" bestFit="1" customWidth="1"/>
    <col min="14" max="16384" width="9.125" style="4" customWidth="1"/>
  </cols>
  <sheetData>
    <row r="1" spans="1:13" s="3" customFormat="1" ht="28.5" customHeight="1">
      <c r="A1" s="52" t="s">
        <v>1039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134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179</v>
      </c>
      <c r="B6" s="10" t="s">
        <v>180</v>
      </c>
      <c r="C6" s="10" t="s">
        <v>181</v>
      </c>
      <c r="D6" s="10" t="str">
        <f>"0,8128"</f>
        <v>0,8128</v>
      </c>
      <c r="E6" s="10" t="s">
        <v>182</v>
      </c>
      <c r="F6" s="10" t="s">
        <v>183</v>
      </c>
      <c r="G6" s="11" t="s">
        <v>166</v>
      </c>
      <c r="H6" s="11" t="s">
        <v>184</v>
      </c>
      <c r="I6" s="11" t="s">
        <v>185</v>
      </c>
      <c r="J6" s="12"/>
      <c r="K6" s="10" t="str">
        <f>"135,0"</f>
        <v>135,0</v>
      </c>
      <c r="L6" s="11" t="str">
        <f>"129,4790"</f>
        <v>129,4790</v>
      </c>
      <c r="M6" s="10" t="s">
        <v>190</v>
      </c>
    </row>
    <row r="8" spans="1:12" ht="15">
      <c r="A8" s="55" t="s">
        <v>63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0" t="s">
        <v>955</v>
      </c>
      <c r="B9" s="10" t="s">
        <v>956</v>
      </c>
      <c r="C9" s="10" t="s">
        <v>644</v>
      </c>
      <c r="D9" s="10" t="str">
        <f>"0,5376"</f>
        <v>0,5376</v>
      </c>
      <c r="E9" s="10" t="s">
        <v>538</v>
      </c>
      <c r="F9" s="10" t="s">
        <v>957</v>
      </c>
      <c r="G9" s="11" t="s">
        <v>133</v>
      </c>
      <c r="H9" s="11" t="s">
        <v>86</v>
      </c>
      <c r="I9" s="11" t="s">
        <v>229</v>
      </c>
      <c r="J9" s="12"/>
      <c r="K9" s="10" t="str">
        <f>"120,0"</f>
        <v>120,0</v>
      </c>
      <c r="L9" s="11" t="str">
        <f>"99,0259"</f>
        <v>99,0259</v>
      </c>
      <c r="M9" s="10" t="s">
        <v>419</v>
      </c>
    </row>
    <row r="11" ht="15">
      <c r="E11" s="8" t="s">
        <v>52</v>
      </c>
    </row>
    <row r="12" ht="15">
      <c r="E12" s="8" t="s">
        <v>53</v>
      </c>
    </row>
    <row r="13" ht="15">
      <c r="E13" s="8" t="s">
        <v>54</v>
      </c>
    </row>
    <row r="14" ht="15">
      <c r="E14" s="8" t="s">
        <v>55</v>
      </c>
    </row>
    <row r="15" ht="15">
      <c r="E15" s="8" t="s">
        <v>55</v>
      </c>
    </row>
    <row r="16" ht="15">
      <c r="E16" s="8" t="s">
        <v>56</v>
      </c>
    </row>
    <row r="17" ht="15">
      <c r="E17" s="8"/>
    </row>
    <row r="19" spans="1:2" ht="18">
      <c r="A19" s="9" t="s">
        <v>57</v>
      </c>
      <c r="B19" s="9"/>
    </row>
    <row r="20" spans="1:2" ht="15">
      <c r="A20" s="13" t="s">
        <v>79</v>
      </c>
      <c r="B20" s="13"/>
    </row>
    <row r="21" spans="1:2" ht="14.25">
      <c r="A21" s="15"/>
      <c r="B21" s="16" t="s">
        <v>360</v>
      </c>
    </row>
    <row r="22" spans="1:5" ht="15">
      <c r="A22" s="17" t="s">
        <v>81</v>
      </c>
      <c r="B22" s="17" t="s">
        <v>82</v>
      </c>
      <c r="C22" s="17" t="s">
        <v>83</v>
      </c>
      <c r="D22" s="17" t="s">
        <v>84</v>
      </c>
      <c r="E22" s="17" t="s">
        <v>85</v>
      </c>
    </row>
    <row r="23" spans="1:5" ht="12.75">
      <c r="A23" s="14" t="s">
        <v>178</v>
      </c>
      <c r="B23" s="5" t="s">
        <v>361</v>
      </c>
      <c r="C23" s="5" t="s">
        <v>150</v>
      </c>
      <c r="D23" s="5" t="s">
        <v>185</v>
      </c>
      <c r="E23" s="18" t="s">
        <v>1040</v>
      </c>
    </row>
    <row r="25" spans="1:2" ht="14.25">
      <c r="A25" s="15"/>
      <c r="B25" s="16" t="s">
        <v>404</v>
      </c>
    </row>
    <row r="26" spans="1:5" ht="15">
      <c r="A26" s="17" t="s">
        <v>81</v>
      </c>
      <c r="B26" s="17" t="s">
        <v>82</v>
      </c>
      <c r="C26" s="17" t="s">
        <v>83</v>
      </c>
      <c r="D26" s="17" t="s">
        <v>84</v>
      </c>
      <c r="E26" s="17" t="s">
        <v>85</v>
      </c>
    </row>
    <row r="27" spans="1:5" ht="12.75">
      <c r="A27" s="14" t="s">
        <v>954</v>
      </c>
      <c r="B27" s="5" t="s">
        <v>768</v>
      </c>
      <c r="C27" s="5" t="s">
        <v>86</v>
      </c>
      <c r="D27" s="5" t="s">
        <v>229</v>
      </c>
      <c r="E27" s="18" t="s">
        <v>1041</v>
      </c>
    </row>
  </sheetData>
  <sheetProtection/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17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3.625" style="5" bestFit="1" customWidth="1"/>
    <col min="14" max="16384" width="9.125" style="4" customWidth="1"/>
  </cols>
  <sheetData>
    <row r="1" spans="1:13" s="3" customFormat="1" ht="28.5" customHeight="1">
      <c r="A1" s="52" t="s">
        <v>1028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270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1030</v>
      </c>
      <c r="B6" s="10" t="s">
        <v>1031</v>
      </c>
      <c r="C6" s="10" t="s">
        <v>1032</v>
      </c>
      <c r="D6" s="10" t="str">
        <f>"0,5543"</f>
        <v>0,5543</v>
      </c>
      <c r="E6" s="10" t="s">
        <v>1033</v>
      </c>
      <c r="F6" s="10" t="s">
        <v>1034</v>
      </c>
      <c r="G6" s="11" t="s">
        <v>473</v>
      </c>
      <c r="H6" s="12" t="s">
        <v>472</v>
      </c>
      <c r="I6" s="12" t="s">
        <v>472</v>
      </c>
      <c r="J6" s="12"/>
      <c r="K6" s="10" t="str">
        <f>"330,0"</f>
        <v>330,0</v>
      </c>
      <c r="L6" s="11" t="str">
        <f>"182,9190"</f>
        <v>182,9190</v>
      </c>
      <c r="M6" s="10" t="s">
        <v>1035</v>
      </c>
    </row>
    <row r="8" ht="15">
      <c r="E8" s="8" t="s">
        <v>52</v>
      </c>
    </row>
    <row r="9" ht="15">
      <c r="E9" s="8" t="s">
        <v>53</v>
      </c>
    </row>
    <row r="10" ht="15">
      <c r="E10" s="8" t="s">
        <v>54</v>
      </c>
    </row>
    <row r="11" ht="15">
      <c r="E11" s="8" t="s">
        <v>55</v>
      </c>
    </row>
    <row r="12" ht="15">
      <c r="E12" s="8" t="s">
        <v>55</v>
      </c>
    </row>
    <row r="13" ht="15">
      <c r="E13" s="8" t="s">
        <v>56</v>
      </c>
    </row>
    <row r="14" ht="15">
      <c r="E14" s="8"/>
    </row>
    <row r="16" spans="1:2" ht="18">
      <c r="A16" s="9" t="s">
        <v>57</v>
      </c>
      <c r="B16" s="9"/>
    </row>
    <row r="17" spans="1:2" ht="15">
      <c r="A17" s="13" t="s">
        <v>79</v>
      </c>
      <c r="B17" s="13"/>
    </row>
    <row r="18" spans="1:2" ht="14.25">
      <c r="A18" s="15"/>
      <c r="B18" s="16" t="s">
        <v>80</v>
      </c>
    </row>
    <row r="19" spans="1:5" ht="15">
      <c r="A19" s="17" t="s">
        <v>81</v>
      </c>
      <c r="B19" s="17" t="s">
        <v>82</v>
      </c>
      <c r="C19" s="17" t="s">
        <v>83</v>
      </c>
      <c r="D19" s="17" t="s">
        <v>84</v>
      </c>
      <c r="E19" s="17" t="s">
        <v>85</v>
      </c>
    </row>
    <row r="20" spans="1:5" ht="12.75">
      <c r="A20" s="14" t="s">
        <v>1029</v>
      </c>
      <c r="B20" s="5" t="s">
        <v>80</v>
      </c>
      <c r="C20" s="5" t="s">
        <v>133</v>
      </c>
      <c r="D20" s="5" t="s">
        <v>473</v>
      </c>
      <c r="E20" s="18" t="s">
        <v>1036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1025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4.625" style="5" bestFit="1" customWidth="1"/>
    <col min="6" max="6" width="47.875" style="5" bestFit="1" customWidth="1"/>
    <col min="7" max="7" width="5.625" style="4" bestFit="1" customWidth="1"/>
    <col min="8" max="8" width="6.875" style="4" bestFit="1" customWidth="1"/>
    <col min="9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9.75390625" style="5" bestFit="1" customWidth="1"/>
    <col min="14" max="16384" width="9.125" style="4" customWidth="1"/>
  </cols>
  <sheetData>
    <row r="1" spans="1:13" s="3" customFormat="1" ht="28.5" customHeight="1">
      <c r="A1" s="52" t="s">
        <v>1000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62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159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410</v>
      </c>
      <c r="B6" s="10" t="s">
        <v>411</v>
      </c>
      <c r="C6" s="10" t="s">
        <v>412</v>
      </c>
      <c r="D6" s="10" t="str">
        <f>"0,7362"</f>
        <v>0,7362</v>
      </c>
      <c r="E6" s="10" t="s">
        <v>413</v>
      </c>
      <c r="F6" s="10" t="s">
        <v>414</v>
      </c>
      <c r="G6" s="11" t="s">
        <v>99</v>
      </c>
      <c r="H6" s="11" t="s">
        <v>101</v>
      </c>
      <c r="I6" s="11" t="s">
        <v>105</v>
      </c>
      <c r="J6" s="12"/>
      <c r="K6" s="10" t="str">
        <f>"82,5"</f>
        <v>82,5</v>
      </c>
      <c r="L6" s="11" t="str">
        <f>"60,7324"</f>
        <v>60,7324</v>
      </c>
      <c r="M6" s="10" t="s">
        <v>78</v>
      </c>
    </row>
    <row r="8" spans="1:12" ht="15">
      <c r="A8" s="55" t="s">
        <v>214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9" t="s">
        <v>421</v>
      </c>
      <c r="B9" s="19" t="s">
        <v>422</v>
      </c>
      <c r="C9" s="19" t="s">
        <v>423</v>
      </c>
      <c r="D9" s="19" t="str">
        <f>"0,6268"</f>
        <v>0,6268</v>
      </c>
      <c r="E9" s="19" t="s">
        <v>182</v>
      </c>
      <c r="F9" s="19" t="s">
        <v>183</v>
      </c>
      <c r="G9" s="20" t="s">
        <v>321</v>
      </c>
      <c r="H9" s="21" t="s">
        <v>294</v>
      </c>
      <c r="I9" s="21" t="s">
        <v>294</v>
      </c>
      <c r="J9" s="21"/>
      <c r="K9" s="19" t="str">
        <f>"240,0"</f>
        <v>240,0</v>
      </c>
      <c r="L9" s="20" t="str">
        <f>"156,4493"</f>
        <v>156,4493</v>
      </c>
      <c r="M9" s="19" t="s">
        <v>424</v>
      </c>
    </row>
    <row r="10" spans="1:13" ht="12.75">
      <c r="A10" s="22" t="s">
        <v>1002</v>
      </c>
      <c r="B10" s="22" t="s">
        <v>1003</v>
      </c>
      <c r="C10" s="22" t="s">
        <v>1004</v>
      </c>
      <c r="D10" s="22" t="str">
        <f>"0,6454"</f>
        <v>0,6454</v>
      </c>
      <c r="E10" s="22" t="s">
        <v>68</v>
      </c>
      <c r="F10" s="22" t="s">
        <v>1005</v>
      </c>
      <c r="G10" s="23" t="s">
        <v>197</v>
      </c>
      <c r="H10" s="24" t="s">
        <v>73</v>
      </c>
      <c r="I10" s="23" t="s">
        <v>206</v>
      </c>
      <c r="J10" s="23"/>
      <c r="K10" s="22" t="str">
        <f>"160,0"</f>
        <v>160,0</v>
      </c>
      <c r="L10" s="24" t="str">
        <f>"103,2640"</f>
        <v>103,2640</v>
      </c>
      <c r="M10" s="22" t="s">
        <v>78</v>
      </c>
    </row>
    <row r="12" spans="1:12" ht="15">
      <c r="A12" s="55" t="s">
        <v>247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3" ht="12.75">
      <c r="A13" s="19" t="s">
        <v>1007</v>
      </c>
      <c r="B13" s="19" t="s">
        <v>1008</v>
      </c>
      <c r="C13" s="19" t="s">
        <v>600</v>
      </c>
      <c r="D13" s="19" t="str">
        <f>"0,5853"</f>
        <v>0,5853</v>
      </c>
      <c r="E13" s="19" t="s">
        <v>124</v>
      </c>
      <c r="F13" s="19" t="s">
        <v>1009</v>
      </c>
      <c r="G13" s="20" t="s">
        <v>295</v>
      </c>
      <c r="H13" s="20" t="s">
        <v>438</v>
      </c>
      <c r="I13" s="20" t="s">
        <v>436</v>
      </c>
      <c r="J13" s="21"/>
      <c r="K13" s="19" t="str">
        <f>"300,0"</f>
        <v>300,0</v>
      </c>
      <c r="L13" s="20" t="str">
        <f>"175,5900"</f>
        <v>175,5900</v>
      </c>
      <c r="M13" s="19" t="s">
        <v>78</v>
      </c>
    </row>
    <row r="14" spans="1:13" ht="12.75">
      <c r="A14" s="22" t="s">
        <v>1011</v>
      </c>
      <c r="B14" s="22" t="s">
        <v>1012</v>
      </c>
      <c r="C14" s="22" t="s">
        <v>1013</v>
      </c>
      <c r="D14" s="22" t="str">
        <f>"0,5897"</f>
        <v>0,5897</v>
      </c>
      <c r="E14" s="22" t="s">
        <v>413</v>
      </c>
      <c r="F14" s="22" t="s">
        <v>414</v>
      </c>
      <c r="G14" s="23" t="s">
        <v>220</v>
      </c>
      <c r="H14" s="24" t="s">
        <v>210</v>
      </c>
      <c r="I14" s="24" t="s">
        <v>321</v>
      </c>
      <c r="J14" s="23"/>
      <c r="K14" s="22" t="str">
        <f>"240,0"</f>
        <v>240,0</v>
      </c>
      <c r="L14" s="24" t="str">
        <f>"141,5280"</f>
        <v>141,5280</v>
      </c>
      <c r="M14" s="22" t="s">
        <v>78</v>
      </c>
    </row>
    <row r="16" spans="1:12" ht="15">
      <c r="A16" s="55" t="s">
        <v>270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3" ht="12.75">
      <c r="A17" s="19" t="s">
        <v>1015</v>
      </c>
      <c r="B17" s="19" t="s">
        <v>1016</v>
      </c>
      <c r="C17" s="19" t="s">
        <v>1017</v>
      </c>
      <c r="D17" s="19" t="str">
        <f>"0,5666"</f>
        <v>0,5666</v>
      </c>
      <c r="E17" s="19" t="s">
        <v>413</v>
      </c>
      <c r="F17" s="19" t="s">
        <v>414</v>
      </c>
      <c r="G17" s="20" t="s">
        <v>322</v>
      </c>
      <c r="H17" s="20" t="s">
        <v>779</v>
      </c>
      <c r="I17" s="21" t="s">
        <v>333</v>
      </c>
      <c r="J17" s="21"/>
      <c r="K17" s="19" t="str">
        <f>"265,0"</f>
        <v>265,0</v>
      </c>
      <c r="L17" s="20" t="str">
        <f>"150,1490"</f>
        <v>150,1490</v>
      </c>
      <c r="M17" s="19" t="s">
        <v>78</v>
      </c>
    </row>
    <row r="18" spans="1:13" ht="12.75">
      <c r="A18" s="22" t="s">
        <v>1018</v>
      </c>
      <c r="B18" s="22" t="s">
        <v>711</v>
      </c>
      <c r="C18" s="22" t="s">
        <v>300</v>
      </c>
      <c r="D18" s="22" t="str">
        <f>"0,5563"</f>
        <v>0,5563</v>
      </c>
      <c r="E18" s="22" t="s">
        <v>124</v>
      </c>
      <c r="F18" s="22" t="s">
        <v>125</v>
      </c>
      <c r="G18" s="23" t="s">
        <v>286</v>
      </c>
      <c r="H18" s="23" t="s">
        <v>286</v>
      </c>
      <c r="I18" s="23"/>
      <c r="J18" s="23"/>
      <c r="K18" s="22" t="str">
        <f>"0.00"</f>
        <v>0.00</v>
      </c>
      <c r="L18" s="24" t="str">
        <f>"0,0000"</f>
        <v>0,0000</v>
      </c>
      <c r="M18" s="22" t="s">
        <v>78</v>
      </c>
    </row>
    <row r="20" ht="15">
      <c r="E20" s="8" t="s">
        <v>52</v>
      </c>
    </row>
    <row r="21" ht="15">
      <c r="E21" s="8" t="s">
        <v>53</v>
      </c>
    </row>
    <row r="22" ht="15">
      <c r="E22" s="8" t="s">
        <v>54</v>
      </c>
    </row>
    <row r="23" ht="15">
      <c r="E23" s="8" t="s">
        <v>55</v>
      </c>
    </row>
    <row r="24" ht="15">
      <c r="E24" s="8" t="s">
        <v>55</v>
      </c>
    </row>
    <row r="25" ht="15">
      <c r="E25" s="8" t="s">
        <v>56</v>
      </c>
    </row>
    <row r="26" ht="15">
      <c r="E26" s="8"/>
    </row>
    <row r="28" spans="1:2" ht="18">
      <c r="A28" s="9" t="s">
        <v>57</v>
      </c>
      <c r="B28" s="9"/>
    </row>
    <row r="29" spans="1:2" ht="15">
      <c r="A29" s="13" t="s">
        <v>341</v>
      </c>
      <c r="B29" s="13"/>
    </row>
    <row r="30" spans="1:2" ht="14.25">
      <c r="A30" s="15"/>
      <c r="B30" s="16" t="s">
        <v>80</v>
      </c>
    </row>
    <row r="31" spans="1:5" ht="15">
      <c r="A31" s="17" t="s">
        <v>81</v>
      </c>
      <c r="B31" s="17" t="s">
        <v>82</v>
      </c>
      <c r="C31" s="17" t="s">
        <v>83</v>
      </c>
      <c r="D31" s="17" t="s">
        <v>84</v>
      </c>
      <c r="E31" s="17" t="s">
        <v>85</v>
      </c>
    </row>
    <row r="32" spans="1:5" ht="12.75">
      <c r="A32" s="14" t="s">
        <v>409</v>
      </c>
      <c r="B32" s="5" t="s">
        <v>80</v>
      </c>
      <c r="C32" s="5" t="s">
        <v>101</v>
      </c>
      <c r="D32" s="5" t="s">
        <v>105</v>
      </c>
      <c r="E32" s="18" t="s">
        <v>1019</v>
      </c>
    </row>
    <row r="35" spans="1:2" ht="15">
      <c r="A35" s="13" t="s">
        <v>79</v>
      </c>
      <c r="B35" s="13"/>
    </row>
    <row r="36" spans="1:2" ht="14.25">
      <c r="A36" s="15"/>
      <c r="B36" s="16" t="s">
        <v>360</v>
      </c>
    </row>
    <row r="37" spans="1:5" ht="15">
      <c r="A37" s="17" t="s">
        <v>81</v>
      </c>
      <c r="B37" s="17" t="s">
        <v>82</v>
      </c>
      <c r="C37" s="17" t="s">
        <v>83</v>
      </c>
      <c r="D37" s="17" t="s">
        <v>84</v>
      </c>
      <c r="E37" s="17" t="s">
        <v>85</v>
      </c>
    </row>
    <row r="38" spans="1:5" ht="12.75">
      <c r="A38" s="14" t="s">
        <v>420</v>
      </c>
      <c r="B38" s="5" t="s">
        <v>367</v>
      </c>
      <c r="C38" s="5" t="s">
        <v>105</v>
      </c>
      <c r="D38" s="5" t="s">
        <v>321</v>
      </c>
      <c r="E38" s="18" t="s">
        <v>1020</v>
      </c>
    </row>
    <row r="40" spans="1:2" ht="14.25">
      <c r="A40" s="15"/>
      <c r="B40" s="16" t="s">
        <v>80</v>
      </c>
    </row>
    <row r="41" spans="1:5" ht="15">
      <c r="A41" s="17" t="s">
        <v>81</v>
      </c>
      <c r="B41" s="17" t="s">
        <v>82</v>
      </c>
      <c r="C41" s="17" t="s">
        <v>83</v>
      </c>
      <c r="D41" s="17" t="s">
        <v>84</v>
      </c>
      <c r="E41" s="17" t="s">
        <v>85</v>
      </c>
    </row>
    <row r="42" spans="1:5" ht="12.75">
      <c r="A42" s="14" t="s">
        <v>1006</v>
      </c>
      <c r="B42" s="5" t="s">
        <v>80</v>
      </c>
      <c r="C42" s="5" t="s">
        <v>131</v>
      </c>
      <c r="D42" s="5" t="s">
        <v>436</v>
      </c>
      <c r="E42" s="18" t="s">
        <v>1021</v>
      </c>
    </row>
    <row r="43" spans="1:5" ht="12.75">
      <c r="A43" s="14" t="s">
        <v>1014</v>
      </c>
      <c r="B43" s="5" t="s">
        <v>80</v>
      </c>
      <c r="C43" s="5" t="s">
        <v>133</v>
      </c>
      <c r="D43" s="5" t="s">
        <v>779</v>
      </c>
      <c r="E43" s="18" t="s">
        <v>1022</v>
      </c>
    </row>
    <row r="44" spans="1:5" ht="12.75">
      <c r="A44" s="14" t="s">
        <v>1010</v>
      </c>
      <c r="B44" s="5" t="s">
        <v>80</v>
      </c>
      <c r="C44" s="5" t="s">
        <v>131</v>
      </c>
      <c r="D44" s="5" t="s">
        <v>321</v>
      </c>
      <c r="E44" s="18" t="s">
        <v>1023</v>
      </c>
    </row>
    <row r="45" spans="1:5" ht="12.75">
      <c r="A45" s="14" t="s">
        <v>1001</v>
      </c>
      <c r="B45" s="5" t="s">
        <v>80</v>
      </c>
      <c r="C45" s="5" t="s">
        <v>105</v>
      </c>
      <c r="D45" s="5" t="s">
        <v>205</v>
      </c>
      <c r="E45" s="18" t="s">
        <v>1024</v>
      </c>
    </row>
  </sheetData>
  <sheetProtection/>
  <mergeCells count="15">
    <mergeCell ref="A8:L8"/>
    <mergeCell ref="A12:L12"/>
    <mergeCell ref="A16:L16"/>
    <mergeCell ref="K3:K4"/>
    <mergeCell ref="L3:L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M3:M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9"/>
  <sheetViews>
    <sheetView zoomScalePageLayoutView="0" workbookViewId="0" topLeftCell="A46">
      <selection activeCell="E38" sqref="E38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9.25390625" style="5" bestFit="1" customWidth="1"/>
    <col min="5" max="5" width="27.125" style="5" bestFit="1" customWidth="1"/>
    <col min="6" max="6" width="38.125" style="5" bestFit="1" customWidth="1"/>
    <col min="7" max="9" width="6.87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5.75390625" style="5" bestFit="1" customWidth="1"/>
    <col min="14" max="16384" width="9.125" style="4" customWidth="1"/>
  </cols>
  <sheetData>
    <row r="1" spans="1:13" s="3" customFormat="1" ht="28.5" customHeight="1">
      <c r="A1" s="52" t="s">
        <v>806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62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107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9" t="s">
        <v>808</v>
      </c>
      <c r="B6" s="19" t="s">
        <v>809</v>
      </c>
      <c r="C6" s="19" t="s">
        <v>810</v>
      </c>
      <c r="D6" s="19" t="str">
        <f>"0,9739"</f>
        <v>0,9739</v>
      </c>
      <c r="E6" s="19" t="s">
        <v>749</v>
      </c>
      <c r="F6" s="19" t="s">
        <v>750</v>
      </c>
      <c r="G6" s="20" t="s">
        <v>268</v>
      </c>
      <c r="H6" s="20" t="s">
        <v>185</v>
      </c>
      <c r="I6" s="20" t="s">
        <v>170</v>
      </c>
      <c r="J6" s="21"/>
      <c r="K6" s="19" t="str">
        <f>"140,0"</f>
        <v>140,0</v>
      </c>
      <c r="L6" s="20" t="str">
        <f>"136,3460"</f>
        <v>136,3460</v>
      </c>
      <c r="M6" s="19" t="s">
        <v>811</v>
      </c>
    </row>
    <row r="7" spans="1:13" ht="12.75">
      <c r="A7" s="25" t="s">
        <v>808</v>
      </c>
      <c r="B7" s="25" t="s">
        <v>812</v>
      </c>
      <c r="C7" s="25" t="s">
        <v>810</v>
      </c>
      <c r="D7" s="25" t="str">
        <f>"0,9739"</f>
        <v>0,9739</v>
      </c>
      <c r="E7" s="25" t="s">
        <v>749</v>
      </c>
      <c r="F7" s="25" t="s">
        <v>750</v>
      </c>
      <c r="G7" s="27" t="s">
        <v>268</v>
      </c>
      <c r="H7" s="27" t="s">
        <v>185</v>
      </c>
      <c r="I7" s="27" t="s">
        <v>170</v>
      </c>
      <c r="J7" s="26"/>
      <c r="K7" s="25" t="str">
        <f>"140,0"</f>
        <v>140,0</v>
      </c>
      <c r="L7" s="27" t="str">
        <f>"136,3460"</f>
        <v>136,3460</v>
      </c>
      <c r="M7" s="25" t="s">
        <v>811</v>
      </c>
    </row>
    <row r="8" spans="1:13" ht="12.75">
      <c r="A8" s="25" t="s">
        <v>814</v>
      </c>
      <c r="B8" s="25" t="s">
        <v>815</v>
      </c>
      <c r="C8" s="25" t="s">
        <v>816</v>
      </c>
      <c r="D8" s="25" t="str">
        <f>"0,9912"</f>
        <v>0,9912</v>
      </c>
      <c r="E8" s="25" t="s">
        <v>68</v>
      </c>
      <c r="F8" s="25" t="s">
        <v>539</v>
      </c>
      <c r="G8" s="27" t="s">
        <v>817</v>
      </c>
      <c r="H8" s="27" t="s">
        <v>818</v>
      </c>
      <c r="I8" s="27" t="s">
        <v>819</v>
      </c>
      <c r="J8" s="26"/>
      <c r="K8" s="25" t="str">
        <f>"115,0"</f>
        <v>115,0</v>
      </c>
      <c r="L8" s="27" t="str">
        <f>"113,9823"</f>
        <v>113,9823</v>
      </c>
      <c r="M8" s="25" t="s">
        <v>78</v>
      </c>
    </row>
    <row r="9" spans="1:13" ht="12.75">
      <c r="A9" s="22" t="s">
        <v>821</v>
      </c>
      <c r="B9" s="22" t="s">
        <v>822</v>
      </c>
      <c r="C9" s="22" t="s">
        <v>111</v>
      </c>
      <c r="D9" s="22" t="str">
        <f>"0,9896"</f>
        <v>0,9896</v>
      </c>
      <c r="E9" s="22" t="s">
        <v>68</v>
      </c>
      <c r="F9" s="22" t="s">
        <v>823</v>
      </c>
      <c r="G9" s="24" t="s">
        <v>824</v>
      </c>
      <c r="H9" s="24" t="s">
        <v>825</v>
      </c>
      <c r="I9" s="24" t="s">
        <v>558</v>
      </c>
      <c r="J9" s="23"/>
      <c r="K9" s="22" t="str">
        <f>"70,0"</f>
        <v>70,0</v>
      </c>
      <c r="L9" s="24" t="str">
        <f>"69,8954"</f>
        <v>69,8954</v>
      </c>
      <c r="M9" s="22" t="s">
        <v>78</v>
      </c>
    </row>
    <row r="11" spans="1:12" ht="15">
      <c r="A11" s="55" t="s">
        <v>521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ht="12.75">
      <c r="A12" s="19" t="s">
        <v>827</v>
      </c>
      <c r="B12" s="19" t="s">
        <v>828</v>
      </c>
      <c r="C12" s="19" t="s">
        <v>829</v>
      </c>
      <c r="D12" s="19" t="str">
        <f>"0,9270"</f>
        <v>0,9270</v>
      </c>
      <c r="E12" s="19" t="s">
        <v>830</v>
      </c>
      <c r="F12" s="19" t="s">
        <v>750</v>
      </c>
      <c r="G12" s="21" t="s">
        <v>268</v>
      </c>
      <c r="H12" s="20" t="s">
        <v>268</v>
      </c>
      <c r="I12" s="20" t="s">
        <v>207</v>
      </c>
      <c r="J12" s="21"/>
      <c r="K12" s="19" t="str">
        <f>"142,5"</f>
        <v>142,5</v>
      </c>
      <c r="L12" s="20" t="str">
        <f>"132,0975"</f>
        <v>132,0975</v>
      </c>
      <c r="M12" s="19" t="s">
        <v>78</v>
      </c>
    </row>
    <row r="13" spans="1:13" ht="12.75">
      <c r="A13" s="22" t="s">
        <v>832</v>
      </c>
      <c r="B13" s="22" t="s">
        <v>833</v>
      </c>
      <c r="C13" s="22" t="s">
        <v>834</v>
      </c>
      <c r="D13" s="22" t="str">
        <f>"0,9133"</f>
        <v>0,9133</v>
      </c>
      <c r="E13" s="35" t="s">
        <v>34</v>
      </c>
      <c r="F13" s="22" t="s">
        <v>113</v>
      </c>
      <c r="G13" s="24" t="s">
        <v>835</v>
      </c>
      <c r="H13" s="24" t="s">
        <v>836</v>
      </c>
      <c r="I13" s="24" t="s">
        <v>837</v>
      </c>
      <c r="J13" s="23"/>
      <c r="K13" s="22" t="str">
        <f>"132,5"</f>
        <v>132,5</v>
      </c>
      <c r="L13" s="24" t="str">
        <f>"121,0122"</f>
        <v>121,0122</v>
      </c>
      <c r="M13" s="22" t="s">
        <v>78</v>
      </c>
    </row>
    <row r="15" spans="1:12" ht="15">
      <c r="A15" s="55" t="s">
        <v>144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 ht="12.75">
      <c r="A16" s="19" t="s">
        <v>839</v>
      </c>
      <c r="B16" s="19" t="s">
        <v>840</v>
      </c>
      <c r="C16" s="19" t="s">
        <v>543</v>
      </c>
      <c r="D16" s="19" t="str">
        <f>"0,7933"</f>
        <v>0,7933</v>
      </c>
      <c r="E16" s="19" t="s">
        <v>494</v>
      </c>
      <c r="F16" s="19" t="s">
        <v>495</v>
      </c>
      <c r="G16" s="20" t="s">
        <v>229</v>
      </c>
      <c r="H16" s="20" t="s">
        <v>169</v>
      </c>
      <c r="I16" s="20" t="s">
        <v>496</v>
      </c>
      <c r="J16" s="21"/>
      <c r="K16" s="19" t="str">
        <f>"137,5"</f>
        <v>137,5</v>
      </c>
      <c r="L16" s="20" t="str">
        <f>"109,0787"</f>
        <v>109,0787</v>
      </c>
      <c r="M16" s="19" t="s">
        <v>78</v>
      </c>
    </row>
    <row r="17" spans="1:13" ht="12.75">
      <c r="A17" s="25" t="s">
        <v>842</v>
      </c>
      <c r="B17" s="25" t="s">
        <v>843</v>
      </c>
      <c r="C17" s="25" t="s">
        <v>844</v>
      </c>
      <c r="D17" s="25" t="str">
        <f>"0,7943"</f>
        <v>0,7943</v>
      </c>
      <c r="E17" s="25" t="s">
        <v>320</v>
      </c>
      <c r="F17" s="25" t="s">
        <v>125</v>
      </c>
      <c r="G17" s="27" t="s">
        <v>133</v>
      </c>
      <c r="H17" s="27" t="s">
        <v>141</v>
      </c>
      <c r="I17" s="27" t="s">
        <v>86</v>
      </c>
      <c r="J17" s="26"/>
      <c r="K17" s="25" t="str">
        <f>"110,0"</f>
        <v>110,0</v>
      </c>
      <c r="L17" s="27" t="str">
        <f>"87,3730"</f>
        <v>87,3730</v>
      </c>
      <c r="M17" s="25" t="s">
        <v>78</v>
      </c>
    </row>
    <row r="18" spans="1:13" ht="12.75">
      <c r="A18" s="25" t="s">
        <v>845</v>
      </c>
      <c r="B18" s="25" t="s">
        <v>846</v>
      </c>
      <c r="C18" s="25" t="s">
        <v>537</v>
      </c>
      <c r="D18" s="25" t="str">
        <f>"0,8514"</f>
        <v>0,8514</v>
      </c>
      <c r="E18" s="25" t="s">
        <v>538</v>
      </c>
      <c r="F18" s="25" t="s">
        <v>539</v>
      </c>
      <c r="G18" s="27" t="s">
        <v>131</v>
      </c>
      <c r="H18" s="27" t="s">
        <v>133</v>
      </c>
      <c r="I18" s="27" t="s">
        <v>141</v>
      </c>
      <c r="J18" s="26"/>
      <c r="K18" s="25" t="str">
        <f>"105,0"</f>
        <v>105,0</v>
      </c>
      <c r="L18" s="27" t="str">
        <f>"89,3970"</f>
        <v>89,3970</v>
      </c>
      <c r="M18" s="25" t="s">
        <v>78</v>
      </c>
    </row>
    <row r="19" spans="1:13" ht="12.75">
      <c r="A19" s="25" t="s">
        <v>848</v>
      </c>
      <c r="B19" s="25" t="s">
        <v>849</v>
      </c>
      <c r="C19" s="25" t="s">
        <v>850</v>
      </c>
      <c r="D19" s="25" t="str">
        <f>"0,8132"</f>
        <v>0,8132</v>
      </c>
      <c r="E19" s="25" t="s">
        <v>164</v>
      </c>
      <c r="F19" s="25" t="s">
        <v>165</v>
      </c>
      <c r="G19" s="27" t="s">
        <v>126</v>
      </c>
      <c r="H19" s="27" t="s">
        <v>132</v>
      </c>
      <c r="I19" s="27" t="s">
        <v>141</v>
      </c>
      <c r="J19" s="26"/>
      <c r="K19" s="25" t="str">
        <f>"105,0"</f>
        <v>105,0</v>
      </c>
      <c r="L19" s="27" t="str">
        <f>"85,3860"</f>
        <v>85,3860</v>
      </c>
      <c r="M19" s="25" t="s">
        <v>78</v>
      </c>
    </row>
    <row r="20" spans="1:13" ht="12.75">
      <c r="A20" s="25" t="s">
        <v>852</v>
      </c>
      <c r="B20" s="25" t="s">
        <v>853</v>
      </c>
      <c r="C20" s="25" t="s">
        <v>850</v>
      </c>
      <c r="D20" s="25" t="str">
        <f>"0,8132"</f>
        <v>0,8132</v>
      </c>
      <c r="E20" s="25" t="s">
        <v>164</v>
      </c>
      <c r="F20" s="25" t="s">
        <v>165</v>
      </c>
      <c r="G20" s="27" t="s">
        <v>854</v>
      </c>
      <c r="H20" s="27" t="s">
        <v>855</v>
      </c>
      <c r="I20" s="27" t="s">
        <v>856</v>
      </c>
      <c r="J20" s="26"/>
      <c r="K20" s="25" t="str">
        <f>"105,0"</f>
        <v>105,0</v>
      </c>
      <c r="L20" s="27" t="str">
        <f>"85,3860"</f>
        <v>85,3860</v>
      </c>
      <c r="M20" s="25" t="s">
        <v>857</v>
      </c>
    </row>
    <row r="21" spans="1:13" ht="12.75">
      <c r="A21" s="22" t="s">
        <v>859</v>
      </c>
      <c r="B21" s="22" t="s">
        <v>860</v>
      </c>
      <c r="C21" s="22" t="s">
        <v>537</v>
      </c>
      <c r="D21" s="22" t="str">
        <f>"0,8514"</f>
        <v>0,8514</v>
      </c>
      <c r="E21" s="22" t="s">
        <v>538</v>
      </c>
      <c r="F21" s="22" t="s">
        <v>539</v>
      </c>
      <c r="G21" s="24" t="s">
        <v>100</v>
      </c>
      <c r="H21" s="24" t="s">
        <v>186</v>
      </c>
      <c r="I21" s="24" t="s">
        <v>131</v>
      </c>
      <c r="J21" s="23"/>
      <c r="K21" s="22" t="str">
        <f>"90,0"</f>
        <v>90,0</v>
      </c>
      <c r="L21" s="24" t="str">
        <f>"76,6260"</f>
        <v>76,6260</v>
      </c>
      <c r="M21" s="22" t="s">
        <v>78</v>
      </c>
    </row>
    <row r="23" spans="1:12" ht="15">
      <c r="A23" s="55" t="s">
        <v>159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3" ht="12.75">
      <c r="A24" s="19" t="s">
        <v>161</v>
      </c>
      <c r="B24" s="19" t="s">
        <v>162</v>
      </c>
      <c r="C24" s="19" t="s">
        <v>163</v>
      </c>
      <c r="D24" s="19" t="str">
        <f>"0,7479"</f>
        <v>0,7479</v>
      </c>
      <c r="E24" s="19" t="s">
        <v>494</v>
      </c>
      <c r="F24" s="19" t="s">
        <v>165</v>
      </c>
      <c r="G24" s="20" t="s">
        <v>169</v>
      </c>
      <c r="H24" s="20" t="s">
        <v>170</v>
      </c>
      <c r="I24" s="20" t="s">
        <v>171</v>
      </c>
      <c r="J24" s="21"/>
      <c r="K24" s="19" t="str">
        <f>"145,0"</f>
        <v>145,0</v>
      </c>
      <c r="L24" s="20" t="str">
        <f>"108,4383"</f>
        <v>108,4383</v>
      </c>
      <c r="M24" s="19" t="s">
        <v>78</v>
      </c>
    </row>
    <row r="25" spans="1:13" ht="12.75">
      <c r="A25" s="22" t="s">
        <v>862</v>
      </c>
      <c r="B25" s="22" t="s">
        <v>863</v>
      </c>
      <c r="C25" s="22" t="s">
        <v>412</v>
      </c>
      <c r="D25" s="22" t="str">
        <f>"0,7362"</f>
        <v>0,7362</v>
      </c>
      <c r="E25" s="22" t="s">
        <v>68</v>
      </c>
      <c r="F25" s="22" t="s">
        <v>125</v>
      </c>
      <c r="G25" s="24" t="s">
        <v>818</v>
      </c>
      <c r="H25" s="24" t="s">
        <v>819</v>
      </c>
      <c r="I25" s="24" t="s">
        <v>864</v>
      </c>
      <c r="J25" s="23"/>
      <c r="K25" s="22" t="str">
        <f>"117,5"</f>
        <v>117,5</v>
      </c>
      <c r="L25" s="24" t="str">
        <f>"86,4976"</f>
        <v>86,4976</v>
      </c>
      <c r="M25" s="22" t="s">
        <v>78</v>
      </c>
    </row>
    <row r="27" spans="1:12" ht="15">
      <c r="A27" s="55" t="s">
        <v>214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3" ht="12.75">
      <c r="A28" s="19" t="s">
        <v>866</v>
      </c>
      <c r="B28" s="19" t="s">
        <v>867</v>
      </c>
      <c r="C28" s="19" t="s">
        <v>868</v>
      </c>
      <c r="D28" s="19" t="str">
        <f>"0,7138"</f>
        <v>0,7138</v>
      </c>
      <c r="E28" s="19" t="s">
        <v>869</v>
      </c>
      <c r="F28" s="19" t="s">
        <v>495</v>
      </c>
      <c r="G28" s="21" t="s">
        <v>187</v>
      </c>
      <c r="H28" s="20" t="s">
        <v>187</v>
      </c>
      <c r="I28" s="21" t="s">
        <v>315</v>
      </c>
      <c r="J28" s="21"/>
      <c r="K28" s="19" t="str">
        <f>"165,0"</f>
        <v>165,0</v>
      </c>
      <c r="L28" s="20" t="str">
        <f>"117,7688"</f>
        <v>117,7688</v>
      </c>
      <c r="M28" s="19" t="s">
        <v>78</v>
      </c>
    </row>
    <row r="29" spans="1:13" ht="12.75">
      <c r="A29" s="22" t="s">
        <v>871</v>
      </c>
      <c r="B29" s="22" t="s">
        <v>872</v>
      </c>
      <c r="C29" s="22" t="s">
        <v>873</v>
      </c>
      <c r="D29" s="22" t="str">
        <f>"0,6789"</f>
        <v>0,6789</v>
      </c>
      <c r="E29" s="22" t="s">
        <v>538</v>
      </c>
      <c r="F29" s="22" t="s">
        <v>539</v>
      </c>
      <c r="G29" s="24" t="s">
        <v>133</v>
      </c>
      <c r="H29" s="23" t="s">
        <v>86</v>
      </c>
      <c r="I29" s="24" t="s">
        <v>86</v>
      </c>
      <c r="J29" s="23"/>
      <c r="K29" s="22" t="str">
        <f>"110,0"</f>
        <v>110,0</v>
      </c>
      <c r="L29" s="24" t="str">
        <f>"76,0232"</f>
        <v>76,0232</v>
      </c>
      <c r="M29" s="22" t="s">
        <v>78</v>
      </c>
    </row>
    <row r="31" spans="1:12" ht="15">
      <c r="A31" s="55" t="s">
        <v>134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3" ht="12.75">
      <c r="A32" s="19" t="s">
        <v>179</v>
      </c>
      <c r="B32" s="19" t="s">
        <v>180</v>
      </c>
      <c r="C32" s="19" t="s">
        <v>181</v>
      </c>
      <c r="D32" s="19" t="str">
        <f>"0,8128"</f>
        <v>0,8128</v>
      </c>
      <c r="E32" s="19" t="s">
        <v>182</v>
      </c>
      <c r="F32" s="19" t="s">
        <v>183</v>
      </c>
      <c r="G32" s="20" t="s">
        <v>187</v>
      </c>
      <c r="H32" s="20" t="s">
        <v>188</v>
      </c>
      <c r="I32" s="20" t="s">
        <v>189</v>
      </c>
      <c r="J32" s="21"/>
      <c r="K32" s="19" t="str">
        <f>"177,5"</f>
        <v>177,5</v>
      </c>
      <c r="L32" s="20" t="str">
        <f>"170,2410"</f>
        <v>170,2410</v>
      </c>
      <c r="M32" s="19" t="s">
        <v>190</v>
      </c>
    </row>
    <row r="33" spans="1:13" ht="12.75">
      <c r="A33" s="22" t="s">
        <v>875</v>
      </c>
      <c r="B33" s="22" t="s">
        <v>876</v>
      </c>
      <c r="C33" s="22" t="s">
        <v>877</v>
      </c>
      <c r="D33" s="22" t="str">
        <f>"0,8580"</f>
        <v>0,8580</v>
      </c>
      <c r="E33" s="22" t="s">
        <v>878</v>
      </c>
      <c r="F33" s="22" t="s">
        <v>125</v>
      </c>
      <c r="G33" s="24" t="s">
        <v>176</v>
      </c>
      <c r="H33" s="23" t="s">
        <v>169</v>
      </c>
      <c r="I33" s="24" t="s">
        <v>169</v>
      </c>
      <c r="J33" s="23"/>
      <c r="K33" s="22" t="str">
        <f>"130,0"</f>
        <v>130,0</v>
      </c>
      <c r="L33" s="24" t="str">
        <f>"111,5400"</f>
        <v>111,5400</v>
      </c>
      <c r="M33" s="22" t="s">
        <v>879</v>
      </c>
    </row>
    <row r="35" spans="1:12" ht="15">
      <c r="A35" s="55" t="s">
        <v>144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3" ht="12.75">
      <c r="A36" s="19" t="s">
        <v>881</v>
      </c>
      <c r="B36" s="19" t="s">
        <v>882</v>
      </c>
      <c r="C36" s="19" t="s">
        <v>883</v>
      </c>
      <c r="D36" s="19" t="str">
        <f>"0,7580"</f>
        <v>0,7580</v>
      </c>
      <c r="E36" s="19" t="s">
        <v>538</v>
      </c>
      <c r="F36" s="19" t="s">
        <v>539</v>
      </c>
      <c r="G36" s="21" t="s">
        <v>133</v>
      </c>
      <c r="H36" s="20" t="s">
        <v>133</v>
      </c>
      <c r="I36" s="20" t="s">
        <v>229</v>
      </c>
      <c r="J36" s="21"/>
      <c r="K36" s="19" t="str">
        <f>"120,0"</f>
        <v>120,0</v>
      </c>
      <c r="L36" s="20" t="str">
        <f>"111,8808"</f>
        <v>111,8808</v>
      </c>
      <c r="M36" s="19" t="s">
        <v>78</v>
      </c>
    </row>
    <row r="37" spans="1:13" ht="12.75">
      <c r="A37" s="25" t="s">
        <v>885</v>
      </c>
      <c r="B37" s="25" t="s">
        <v>886</v>
      </c>
      <c r="C37" s="25" t="s">
        <v>887</v>
      </c>
      <c r="D37" s="25" t="str">
        <f>"0,7481"</f>
        <v>0,7481</v>
      </c>
      <c r="E37" s="25" t="s">
        <v>97</v>
      </c>
      <c r="F37" s="25" t="s">
        <v>98</v>
      </c>
      <c r="G37" s="27" t="s">
        <v>197</v>
      </c>
      <c r="H37" s="26" t="s">
        <v>345</v>
      </c>
      <c r="I37" s="27" t="s">
        <v>345</v>
      </c>
      <c r="J37" s="26"/>
      <c r="K37" s="25" t="str">
        <f>"167,5"</f>
        <v>167,5</v>
      </c>
      <c r="L37" s="27" t="str">
        <f>"135,3313"</f>
        <v>135,3313</v>
      </c>
      <c r="M37" s="25" t="s">
        <v>106</v>
      </c>
    </row>
    <row r="38" spans="1:13" ht="12.75">
      <c r="A38" s="25" t="s">
        <v>889</v>
      </c>
      <c r="B38" s="25" t="s">
        <v>890</v>
      </c>
      <c r="C38" s="25" t="s">
        <v>891</v>
      </c>
      <c r="D38" s="25" t="str">
        <f>"0,7297"</f>
        <v>0,7297</v>
      </c>
      <c r="E38" s="25" t="s">
        <v>124</v>
      </c>
      <c r="F38" s="25" t="s">
        <v>125</v>
      </c>
      <c r="G38" s="27" t="s">
        <v>74</v>
      </c>
      <c r="H38" s="27" t="s">
        <v>892</v>
      </c>
      <c r="I38" s="26" t="s">
        <v>210</v>
      </c>
      <c r="J38" s="26"/>
      <c r="K38" s="25" t="str">
        <f>"192,5"</f>
        <v>192,5</v>
      </c>
      <c r="L38" s="27" t="str">
        <f>"143,2766"</f>
        <v>143,2766</v>
      </c>
      <c r="M38" s="25" t="s">
        <v>78</v>
      </c>
    </row>
    <row r="39" spans="1:13" ht="12.75">
      <c r="A39" s="25" t="s">
        <v>893</v>
      </c>
      <c r="B39" s="25" t="s">
        <v>894</v>
      </c>
      <c r="C39" s="25" t="s">
        <v>549</v>
      </c>
      <c r="D39" s="25" t="str">
        <f>"0,7307"</f>
        <v>0,7307</v>
      </c>
      <c r="E39" s="25" t="s">
        <v>320</v>
      </c>
      <c r="F39" s="25" t="s">
        <v>125</v>
      </c>
      <c r="G39" s="27" t="s">
        <v>219</v>
      </c>
      <c r="H39" s="26" t="s">
        <v>457</v>
      </c>
      <c r="I39" s="26" t="s">
        <v>457</v>
      </c>
      <c r="J39" s="26"/>
      <c r="K39" s="25" t="str">
        <f>"180,0"</f>
        <v>180,0</v>
      </c>
      <c r="L39" s="27" t="str">
        <f>"131,5260"</f>
        <v>131,5260</v>
      </c>
      <c r="M39" s="25" t="s">
        <v>78</v>
      </c>
    </row>
    <row r="40" spans="1:13" ht="12.75">
      <c r="A40" s="22" t="s">
        <v>896</v>
      </c>
      <c r="B40" s="22" t="s">
        <v>897</v>
      </c>
      <c r="C40" s="22" t="s">
        <v>748</v>
      </c>
      <c r="D40" s="22" t="str">
        <f>"0,7258"</f>
        <v>0,7258</v>
      </c>
      <c r="E40" s="22" t="s">
        <v>538</v>
      </c>
      <c r="F40" s="22" t="s">
        <v>539</v>
      </c>
      <c r="G40" s="24" t="s">
        <v>187</v>
      </c>
      <c r="H40" s="24" t="s">
        <v>188</v>
      </c>
      <c r="I40" s="23"/>
      <c r="J40" s="23"/>
      <c r="K40" s="22" t="str">
        <f>"175,0"</f>
        <v>175,0</v>
      </c>
      <c r="L40" s="24" t="str">
        <f>"255,3001"</f>
        <v>255,3001</v>
      </c>
      <c r="M40" s="22" t="s">
        <v>78</v>
      </c>
    </row>
    <row r="42" spans="1:12" ht="15">
      <c r="A42" s="55" t="s">
        <v>159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3" ht="12.75">
      <c r="A43" s="19" t="s">
        <v>192</v>
      </c>
      <c r="B43" s="19" t="s">
        <v>193</v>
      </c>
      <c r="C43" s="19" t="s">
        <v>194</v>
      </c>
      <c r="D43" s="19" t="str">
        <f>"0,6828"</f>
        <v>0,6828</v>
      </c>
      <c r="E43" s="19" t="s">
        <v>195</v>
      </c>
      <c r="F43" s="19" t="s">
        <v>196</v>
      </c>
      <c r="G43" s="20" t="s">
        <v>197</v>
      </c>
      <c r="H43" s="21" t="s">
        <v>198</v>
      </c>
      <c r="I43" s="20" t="s">
        <v>198</v>
      </c>
      <c r="J43" s="21"/>
      <c r="K43" s="19" t="str">
        <f>"155,0"</f>
        <v>155,0</v>
      </c>
      <c r="L43" s="20" t="str">
        <f>"124,8841"</f>
        <v>124,8841</v>
      </c>
      <c r="M43" s="19" t="s">
        <v>78</v>
      </c>
    </row>
    <row r="44" spans="1:13" ht="12.75">
      <c r="A44" s="25" t="s">
        <v>899</v>
      </c>
      <c r="B44" s="25" t="s">
        <v>900</v>
      </c>
      <c r="C44" s="25" t="s">
        <v>901</v>
      </c>
      <c r="D44" s="25" t="str">
        <f>"0,6673"</f>
        <v>0,6673</v>
      </c>
      <c r="E44" s="25" t="s">
        <v>68</v>
      </c>
      <c r="F44" s="25" t="s">
        <v>539</v>
      </c>
      <c r="G44" s="27" t="s">
        <v>72</v>
      </c>
      <c r="H44" s="27" t="s">
        <v>612</v>
      </c>
      <c r="I44" s="27" t="s">
        <v>902</v>
      </c>
      <c r="J44" s="26"/>
      <c r="K44" s="25" t="str">
        <f>"150,0"</f>
        <v>150,0</v>
      </c>
      <c r="L44" s="27" t="str">
        <f>"118,1121"</f>
        <v>118,1121</v>
      </c>
      <c r="M44" s="25" t="s">
        <v>78</v>
      </c>
    </row>
    <row r="45" spans="1:13" ht="12.75">
      <c r="A45" s="25" t="s">
        <v>903</v>
      </c>
      <c r="B45" s="25" t="s">
        <v>904</v>
      </c>
      <c r="C45" s="25" t="s">
        <v>905</v>
      </c>
      <c r="D45" s="25" t="str">
        <f>"0,6939"</f>
        <v>0,6939</v>
      </c>
      <c r="E45" s="25" t="s">
        <v>906</v>
      </c>
      <c r="F45" s="25" t="s">
        <v>125</v>
      </c>
      <c r="G45" s="26" t="s">
        <v>267</v>
      </c>
      <c r="H45" s="26" t="s">
        <v>167</v>
      </c>
      <c r="I45" s="26" t="s">
        <v>229</v>
      </c>
      <c r="J45" s="26"/>
      <c r="K45" s="25" t="str">
        <f>"0.00"</f>
        <v>0.00</v>
      </c>
      <c r="L45" s="27" t="str">
        <f>"0,0000"</f>
        <v>0,0000</v>
      </c>
      <c r="M45" s="25" t="s">
        <v>78</v>
      </c>
    </row>
    <row r="46" spans="1:13" ht="12.75">
      <c r="A46" s="25" t="s">
        <v>908</v>
      </c>
      <c r="B46" s="25" t="s">
        <v>886</v>
      </c>
      <c r="C46" s="25" t="s">
        <v>572</v>
      </c>
      <c r="D46" s="25" t="str">
        <f>"0,6708"</f>
        <v>0,6708</v>
      </c>
      <c r="E46" s="25" t="s">
        <v>97</v>
      </c>
      <c r="F46" s="25" t="s">
        <v>98</v>
      </c>
      <c r="G46" s="26" t="s">
        <v>187</v>
      </c>
      <c r="H46" s="27" t="s">
        <v>187</v>
      </c>
      <c r="I46" s="26" t="s">
        <v>219</v>
      </c>
      <c r="J46" s="26"/>
      <c r="K46" s="25" t="str">
        <f>"165,0"</f>
        <v>165,0</v>
      </c>
      <c r="L46" s="27" t="str">
        <f>"119,5366"</f>
        <v>119,5366</v>
      </c>
      <c r="M46" s="25" t="s">
        <v>106</v>
      </c>
    </row>
    <row r="47" spans="1:13" ht="12.75">
      <c r="A47" s="25" t="s">
        <v>200</v>
      </c>
      <c r="B47" s="25" t="s">
        <v>201</v>
      </c>
      <c r="C47" s="25" t="s">
        <v>202</v>
      </c>
      <c r="D47" s="25" t="str">
        <f>"0,6645"</f>
        <v>0,6645</v>
      </c>
      <c r="E47" s="25" t="s">
        <v>203</v>
      </c>
      <c r="F47" s="25" t="s">
        <v>204</v>
      </c>
      <c r="G47" s="27" t="s">
        <v>209</v>
      </c>
      <c r="H47" s="27" t="s">
        <v>210</v>
      </c>
      <c r="I47" s="26"/>
      <c r="J47" s="26"/>
      <c r="K47" s="25" t="str">
        <f>"220,0"</f>
        <v>220,0</v>
      </c>
      <c r="L47" s="27" t="str">
        <f>"146,1900"</f>
        <v>146,1900</v>
      </c>
      <c r="M47" s="25" t="s">
        <v>78</v>
      </c>
    </row>
    <row r="48" spans="1:13" ht="12.75">
      <c r="A48" s="25" t="s">
        <v>910</v>
      </c>
      <c r="B48" s="25" t="s">
        <v>911</v>
      </c>
      <c r="C48" s="25" t="s">
        <v>912</v>
      </c>
      <c r="D48" s="25" t="str">
        <f>"0,6820"</f>
        <v>0,6820</v>
      </c>
      <c r="E48" s="25" t="s">
        <v>124</v>
      </c>
      <c r="F48" s="25" t="s">
        <v>125</v>
      </c>
      <c r="G48" s="27" t="s">
        <v>239</v>
      </c>
      <c r="H48" s="27" t="s">
        <v>209</v>
      </c>
      <c r="I48" s="27" t="s">
        <v>314</v>
      </c>
      <c r="J48" s="26"/>
      <c r="K48" s="25" t="str">
        <f>"215,0"</f>
        <v>215,0</v>
      </c>
      <c r="L48" s="27" t="str">
        <f>"146,6300"</f>
        <v>146,6300</v>
      </c>
      <c r="M48" s="25" t="s">
        <v>913</v>
      </c>
    </row>
    <row r="49" spans="1:13" ht="12.75">
      <c r="A49" s="22" t="s">
        <v>915</v>
      </c>
      <c r="B49" s="22" t="s">
        <v>916</v>
      </c>
      <c r="C49" s="22" t="s">
        <v>917</v>
      </c>
      <c r="D49" s="22" t="str">
        <f>"0,6867"</f>
        <v>0,6867</v>
      </c>
      <c r="E49" s="22" t="s">
        <v>139</v>
      </c>
      <c r="F49" s="22" t="s">
        <v>140</v>
      </c>
      <c r="G49" s="24" t="s">
        <v>246</v>
      </c>
      <c r="H49" s="24" t="s">
        <v>206</v>
      </c>
      <c r="I49" s="24" t="s">
        <v>219</v>
      </c>
      <c r="J49" s="23"/>
      <c r="K49" s="22" t="str">
        <f>"180,0"</f>
        <v>180,0</v>
      </c>
      <c r="L49" s="24" t="str">
        <f>"123,6060"</f>
        <v>123,6060</v>
      </c>
      <c r="M49" s="22" t="s">
        <v>78</v>
      </c>
    </row>
    <row r="51" spans="1:12" ht="15">
      <c r="A51" s="55" t="s">
        <v>214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3" ht="12.75">
      <c r="A52" s="19" t="s">
        <v>918</v>
      </c>
      <c r="B52" s="19" t="s">
        <v>575</v>
      </c>
      <c r="C52" s="19" t="s">
        <v>576</v>
      </c>
      <c r="D52" s="19" t="str">
        <f>"0,6376"</f>
        <v>0,6376</v>
      </c>
      <c r="E52" s="19" t="s">
        <v>577</v>
      </c>
      <c r="F52" s="19" t="s">
        <v>578</v>
      </c>
      <c r="G52" s="20" t="s">
        <v>219</v>
      </c>
      <c r="H52" s="20" t="s">
        <v>239</v>
      </c>
      <c r="I52" s="21" t="s">
        <v>240</v>
      </c>
      <c r="J52" s="21"/>
      <c r="K52" s="19" t="str">
        <f>"190,0"</f>
        <v>190,0</v>
      </c>
      <c r="L52" s="20" t="str">
        <f>"128,4126"</f>
        <v>128,4126</v>
      </c>
      <c r="M52" s="19" t="s">
        <v>78</v>
      </c>
    </row>
    <row r="53" spans="1:13" ht="12.75">
      <c r="A53" s="25" t="s">
        <v>920</v>
      </c>
      <c r="B53" s="25" t="s">
        <v>921</v>
      </c>
      <c r="C53" s="25" t="s">
        <v>225</v>
      </c>
      <c r="D53" s="25" t="str">
        <f>"0,6219"</f>
        <v>0,6219</v>
      </c>
      <c r="E53" s="25" t="s">
        <v>922</v>
      </c>
      <c r="F53" s="25" t="s">
        <v>923</v>
      </c>
      <c r="G53" s="27" t="s">
        <v>294</v>
      </c>
      <c r="H53" s="27" t="s">
        <v>334</v>
      </c>
      <c r="I53" s="27" t="s">
        <v>924</v>
      </c>
      <c r="J53" s="26"/>
      <c r="K53" s="25" t="str">
        <f>"285,5"</f>
        <v>285,5</v>
      </c>
      <c r="L53" s="27" t="str">
        <f>"177,5525"</f>
        <v>177,5525</v>
      </c>
      <c r="M53" s="25" t="s">
        <v>78</v>
      </c>
    </row>
    <row r="54" spans="1:13" ht="12.75">
      <c r="A54" s="25" t="s">
        <v>585</v>
      </c>
      <c r="B54" s="25" t="s">
        <v>586</v>
      </c>
      <c r="C54" s="25" t="s">
        <v>244</v>
      </c>
      <c r="D54" s="25" t="str">
        <f>"0,6290"</f>
        <v>0,6290</v>
      </c>
      <c r="E54" s="25" t="s">
        <v>139</v>
      </c>
      <c r="F54" s="25" t="s">
        <v>587</v>
      </c>
      <c r="G54" s="27" t="s">
        <v>209</v>
      </c>
      <c r="H54" s="27" t="s">
        <v>210</v>
      </c>
      <c r="I54" s="27" t="s">
        <v>252</v>
      </c>
      <c r="J54" s="26"/>
      <c r="K54" s="25" t="str">
        <f>"230,0"</f>
        <v>230,0</v>
      </c>
      <c r="L54" s="27" t="str">
        <f>"144,6700"</f>
        <v>144,6700</v>
      </c>
      <c r="M54" s="25" t="s">
        <v>78</v>
      </c>
    </row>
    <row r="55" spans="1:13" ht="12.75">
      <c r="A55" s="22" t="s">
        <v>926</v>
      </c>
      <c r="B55" s="22" t="s">
        <v>927</v>
      </c>
      <c r="C55" s="22" t="s">
        <v>928</v>
      </c>
      <c r="D55" s="22" t="str">
        <f>"0,6224"</f>
        <v>0,6224</v>
      </c>
      <c r="E55" s="22" t="s">
        <v>501</v>
      </c>
      <c r="F55" s="22" t="s">
        <v>275</v>
      </c>
      <c r="G55" s="24" t="s">
        <v>751</v>
      </c>
      <c r="H55" s="24" t="s">
        <v>418</v>
      </c>
      <c r="I55" s="23" t="s">
        <v>278</v>
      </c>
      <c r="J55" s="23"/>
      <c r="K55" s="22" t="str">
        <f>"207,5"</f>
        <v>207,5</v>
      </c>
      <c r="L55" s="24" t="str">
        <f>"129,1480"</f>
        <v>129,1480</v>
      </c>
      <c r="M55" s="22" t="s">
        <v>78</v>
      </c>
    </row>
    <row r="57" spans="1:12" ht="15">
      <c r="A57" s="55" t="s">
        <v>247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3" ht="12.75">
      <c r="A58" s="19" t="s">
        <v>930</v>
      </c>
      <c r="B58" s="19" t="s">
        <v>931</v>
      </c>
      <c r="C58" s="19" t="s">
        <v>493</v>
      </c>
      <c r="D58" s="19" t="str">
        <f>"0,5905"</f>
        <v>0,5905</v>
      </c>
      <c r="E58" s="19" t="s">
        <v>149</v>
      </c>
      <c r="F58" s="19" t="s">
        <v>125</v>
      </c>
      <c r="G58" s="20" t="s">
        <v>314</v>
      </c>
      <c r="H58" s="21" t="s">
        <v>293</v>
      </c>
      <c r="I58" s="21" t="s">
        <v>293</v>
      </c>
      <c r="J58" s="21"/>
      <c r="K58" s="19" t="str">
        <f>"215,0"</f>
        <v>215,0</v>
      </c>
      <c r="L58" s="20" t="str">
        <f>"126,9575"</f>
        <v>126,9575</v>
      </c>
      <c r="M58" s="19" t="s">
        <v>78</v>
      </c>
    </row>
    <row r="59" spans="1:13" ht="12.75">
      <c r="A59" s="22" t="s">
        <v>933</v>
      </c>
      <c r="B59" s="22" t="s">
        <v>934</v>
      </c>
      <c r="C59" s="22" t="s">
        <v>600</v>
      </c>
      <c r="D59" s="22" t="str">
        <f>"0,5853"</f>
        <v>0,5853</v>
      </c>
      <c r="E59" s="22" t="s">
        <v>626</v>
      </c>
      <c r="F59" s="22" t="s">
        <v>125</v>
      </c>
      <c r="G59" s="24" t="s">
        <v>170</v>
      </c>
      <c r="H59" s="24" t="s">
        <v>197</v>
      </c>
      <c r="I59" s="24" t="s">
        <v>198</v>
      </c>
      <c r="J59" s="23"/>
      <c r="K59" s="22" t="str">
        <f>"155,0"</f>
        <v>155,0</v>
      </c>
      <c r="L59" s="24" t="str">
        <f>"129,7318"</f>
        <v>129,7318</v>
      </c>
      <c r="M59" s="22" t="s">
        <v>78</v>
      </c>
    </row>
    <row r="61" spans="1:12" ht="15">
      <c r="A61" s="55" t="s">
        <v>270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3" ht="12.75">
      <c r="A62" s="19" t="s">
        <v>280</v>
      </c>
      <c r="B62" s="19" t="s">
        <v>281</v>
      </c>
      <c r="C62" s="19" t="s">
        <v>282</v>
      </c>
      <c r="D62" s="19" t="str">
        <f>"0,5691"</f>
        <v>0,5691</v>
      </c>
      <c r="E62" s="19" t="s">
        <v>283</v>
      </c>
      <c r="F62" s="19" t="s">
        <v>284</v>
      </c>
      <c r="G62" s="20" t="s">
        <v>210</v>
      </c>
      <c r="H62" s="20" t="s">
        <v>286</v>
      </c>
      <c r="I62" s="20" t="s">
        <v>253</v>
      </c>
      <c r="J62" s="21"/>
      <c r="K62" s="19" t="str">
        <f>"245,0"</f>
        <v>245,0</v>
      </c>
      <c r="L62" s="20" t="str">
        <f>"142,2181"</f>
        <v>142,2181</v>
      </c>
      <c r="M62" s="19" t="s">
        <v>287</v>
      </c>
    </row>
    <row r="63" spans="1:13" ht="12.75">
      <c r="A63" s="25" t="s">
        <v>289</v>
      </c>
      <c r="B63" s="25" t="s">
        <v>290</v>
      </c>
      <c r="C63" s="25" t="s">
        <v>291</v>
      </c>
      <c r="D63" s="25" t="str">
        <f>"0,5586"</f>
        <v>0,5586</v>
      </c>
      <c r="E63" s="25" t="s">
        <v>292</v>
      </c>
      <c r="F63" s="25" t="s">
        <v>275</v>
      </c>
      <c r="G63" s="27" t="s">
        <v>294</v>
      </c>
      <c r="H63" s="27" t="s">
        <v>71</v>
      </c>
      <c r="I63" s="26" t="s">
        <v>295</v>
      </c>
      <c r="J63" s="26"/>
      <c r="K63" s="25" t="str">
        <f>"270,0"</f>
        <v>270,0</v>
      </c>
      <c r="L63" s="27" t="str">
        <f>"150,8220"</f>
        <v>150,8220</v>
      </c>
      <c r="M63" s="25" t="s">
        <v>296</v>
      </c>
    </row>
    <row r="64" spans="1:13" ht="12.75">
      <c r="A64" s="22" t="s">
        <v>936</v>
      </c>
      <c r="B64" s="22" t="s">
        <v>937</v>
      </c>
      <c r="C64" s="22" t="s">
        <v>938</v>
      </c>
      <c r="D64" s="22" t="str">
        <f>"0,5678"</f>
        <v>0,5678</v>
      </c>
      <c r="E64" s="22" t="s">
        <v>563</v>
      </c>
      <c r="F64" s="22" t="s">
        <v>125</v>
      </c>
      <c r="G64" s="24" t="s">
        <v>314</v>
      </c>
      <c r="H64" s="23" t="s">
        <v>286</v>
      </c>
      <c r="I64" s="23" t="s">
        <v>286</v>
      </c>
      <c r="J64" s="23"/>
      <c r="K64" s="22" t="str">
        <f>"215,0"</f>
        <v>215,0</v>
      </c>
      <c r="L64" s="24" t="str">
        <f>"122,0770"</f>
        <v>122,0770</v>
      </c>
      <c r="M64" s="22" t="s">
        <v>568</v>
      </c>
    </row>
    <row r="66" spans="1:12" ht="15">
      <c r="A66" s="55" t="s">
        <v>63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3" ht="12.75">
      <c r="A67" s="19" t="s">
        <v>940</v>
      </c>
      <c r="B67" s="19" t="s">
        <v>941</v>
      </c>
      <c r="C67" s="19" t="s">
        <v>942</v>
      </c>
      <c r="D67" s="19" t="str">
        <f>"0,5485"</f>
        <v>0,5485</v>
      </c>
      <c r="E67" s="19" t="s">
        <v>139</v>
      </c>
      <c r="F67" s="19" t="s">
        <v>140</v>
      </c>
      <c r="G67" s="20" t="s">
        <v>240</v>
      </c>
      <c r="H67" s="20" t="s">
        <v>221</v>
      </c>
      <c r="I67" s="20" t="s">
        <v>210</v>
      </c>
      <c r="J67" s="21"/>
      <c r="K67" s="19" t="str">
        <f>"220,0"</f>
        <v>220,0</v>
      </c>
      <c r="L67" s="20" t="str">
        <f>"120,6700"</f>
        <v>120,6700</v>
      </c>
      <c r="M67" s="19" t="s">
        <v>177</v>
      </c>
    </row>
    <row r="68" spans="1:13" ht="12.75">
      <c r="A68" s="25" t="s">
        <v>944</v>
      </c>
      <c r="B68" s="25" t="s">
        <v>945</v>
      </c>
      <c r="C68" s="25" t="s">
        <v>946</v>
      </c>
      <c r="D68" s="25" t="str">
        <f>"0,5365"</f>
        <v>0,5365</v>
      </c>
      <c r="E68" s="25" t="s">
        <v>947</v>
      </c>
      <c r="F68" s="25" t="s">
        <v>125</v>
      </c>
      <c r="G68" s="27" t="s">
        <v>308</v>
      </c>
      <c r="H68" s="27" t="s">
        <v>254</v>
      </c>
      <c r="I68" s="27" t="s">
        <v>948</v>
      </c>
      <c r="J68" s="26"/>
      <c r="K68" s="25" t="str">
        <f>"262,5"</f>
        <v>262,5</v>
      </c>
      <c r="L68" s="27" t="str">
        <f>"141,2537"</f>
        <v>141,2537</v>
      </c>
      <c r="M68" s="25" t="s">
        <v>78</v>
      </c>
    </row>
    <row r="69" spans="1:13" ht="12.75">
      <c r="A69" s="25" t="s">
        <v>950</v>
      </c>
      <c r="B69" s="25" t="s">
        <v>951</v>
      </c>
      <c r="C69" s="25" t="s">
        <v>952</v>
      </c>
      <c r="D69" s="25" t="str">
        <f>"0,5388"</f>
        <v>0,5388</v>
      </c>
      <c r="E69" s="25" t="s">
        <v>953</v>
      </c>
      <c r="F69" s="25" t="s">
        <v>140</v>
      </c>
      <c r="G69" s="26" t="s">
        <v>210</v>
      </c>
      <c r="H69" s="27" t="s">
        <v>286</v>
      </c>
      <c r="I69" s="27" t="s">
        <v>308</v>
      </c>
      <c r="J69" s="26"/>
      <c r="K69" s="25" t="str">
        <f>"242,5"</f>
        <v>242,5</v>
      </c>
      <c r="L69" s="27" t="str">
        <f>"133,0109"</f>
        <v>133,0109</v>
      </c>
      <c r="M69" s="25" t="s">
        <v>78</v>
      </c>
    </row>
    <row r="70" spans="1:13" ht="12.75">
      <c r="A70" s="22" t="s">
        <v>955</v>
      </c>
      <c r="B70" s="22" t="s">
        <v>956</v>
      </c>
      <c r="C70" s="22" t="s">
        <v>644</v>
      </c>
      <c r="D70" s="22" t="str">
        <f>"0,5376"</f>
        <v>0,5376</v>
      </c>
      <c r="E70" s="22" t="s">
        <v>538</v>
      </c>
      <c r="F70" s="22" t="s">
        <v>957</v>
      </c>
      <c r="G70" s="24" t="s">
        <v>252</v>
      </c>
      <c r="H70" s="24" t="s">
        <v>321</v>
      </c>
      <c r="I70" s="24" t="s">
        <v>322</v>
      </c>
      <c r="J70" s="23"/>
      <c r="K70" s="22" t="str">
        <f>"250,0"</f>
        <v>250,0</v>
      </c>
      <c r="L70" s="24" t="str">
        <f>"206,3040"</f>
        <v>206,3040</v>
      </c>
      <c r="M70" s="22" t="s">
        <v>419</v>
      </c>
    </row>
    <row r="72" spans="1:12" ht="15">
      <c r="A72" s="55" t="s">
        <v>327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3" ht="12.75">
      <c r="A73" s="10" t="s">
        <v>651</v>
      </c>
      <c r="B73" s="10" t="s">
        <v>652</v>
      </c>
      <c r="C73" s="10" t="s">
        <v>653</v>
      </c>
      <c r="D73" s="10" t="str">
        <f>"0,5281"</f>
        <v>0,5281</v>
      </c>
      <c r="E73" s="10" t="s">
        <v>626</v>
      </c>
      <c r="F73" s="10" t="s">
        <v>125</v>
      </c>
      <c r="G73" s="11" t="s">
        <v>322</v>
      </c>
      <c r="H73" s="11" t="s">
        <v>294</v>
      </c>
      <c r="I73" s="12" t="s">
        <v>71</v>
      </c>
      <c r="J73" s="12"/>
      <c r="K73" s="10" t="str">
        <f>"260,0"</f>
        <v>260,0</v>
      </c>
      <c r="L73" s="11" t="str">
        <f>"137,3060"</f>
        <v>137,3060</v>
      </c>
      <c r="M73" s="10" t="s">
        <v>654</v>
      </c>
    </row>
    <row r="75" ht="15">
      <c r="E75" s="8" t="s">
        <v>52</v>
      </c>
    </row>
    <row r="76" ht="15">
      <c r="E76" s="8" t="s">
        <v>53</v>
      </c>
    </row>
    <row r="77" ht="15">
      <c r="E77" s="8" t="s">
        <v>54</v>
      </c>
    </row>
    <row r="78" ht="15">
      <c r="E78" s="8" t="s">
        <v>55</v>
      </c>
    </row>
    <row r="79" ht="15">
      <c r="E79" s="8" t="s">
        <v>55</v>
      </c>
    </row>
    <row r="80" ht="15">
      <c r="E80" s="8" t="s">
        <v>56</v>
      </c>
    </row>
    <row r="81" ht="15">
      <c r="E81" s="8"/>
    </row>
    <row r="83" spans="1:2" ht="18">
      <c r="A83" s="9" t="s">
        <v>57</v>
      </c>
      <c r="B83" s="9"/>
    </row>
    <row r="84" spans="1:2" ht="15">
      <c r="A84" s="13" t="s">
        <v>341</v>
      </c>
      <c r="B84" s="13"/>
    </row>
    <row r="85" spans="1:2" ht="14.25">
      <c r="A85" s="15"/>
      <c r="B85" s="16" t="s">
        <v>347</v>
      </c>
    </row>
    <row r="86" spans="1:5" ht="15">
      <c r="A86" s="17" t="s">
        <v>81</v>
      </c>
      <c r="B86" s="17" t="s">
        <v>82</v>
      </c>
      <c r="C86" s="17" t="s">
        <v>83</v>
      </c>
      <c r="D86" s="17" t="s">
        <v>84</v>
      </c>
      <c r="E86" s="17" t="s">
        <v>85</v>
      </c>
    </row>
    <row r="87" spans="1:5" ht="12.75">
      <c r="A87" s="14" t="s">
        <v>807</v>
      </c>
      <c r="B87" s="5" t="s">
        <v>348</v>
      </c>
      <c r="C87" s="5" t="s">
        <v>344</v>
      </c>
      <c r="D87" s="5" t="s">
        <v>170</v>
      </c>
      <c r="E87" s="18" t="s">
        <v>958</v>
      </c>
    </row>
    <row r="89" spans="1:2" ht="14.25">
      <c r="A89" s="15"/>
      <c r="B89" s="16" t="s">
        <v>80</v>
      </c>
    </row>
    <row r="90" spans="1:5" ht="15">
      <c r="A90" s="17" t="s">
        <v>81</v>
      </c>
      <c r="B90" s="17" t="s">
        <v>82</v>
      </c>
      <c r="C90" s="17" t="s">
        <v>83</v>
      </c>
      <c r="D90" s="17" t="s">
        <v>84</v>
      </c>
      <c r="E90" s="17" t="s">
        <v>85</v>
      </c>
    </row>
    <row r="91" spans="1:5" ht="12.75">
      <c r="A91" s="14" t="s">
        <v>807</v>
      </c>
      <c r="B91" s="5" t="s">
        <v>80</v>
      </c>
      <c r="C91" s="5" t="s">
        <v>344</v>
      </c>
      <c r="D91" s="5" t="s">
        <v>170</v>
      </c>
      <c r="E91" s="18" t="s">
        <v>958</v>
      </c>
    </row>
    <row r="92" spans="1:5" ht="12.75">
      <c r="A92" s="14" t="s">
        <v>826</v>
      </c>
      <c r="B92" s="5" t="s">
        <v>80</v>
      </c>
      <c r="C92" s="5" t="s">
        <v>667</v>
      </c>
      <c r="D92" s="5" t="s">
        <v>207</v>
      </c>
      <c r="E92" s="18" t="s">
        <v>959</v>
      </c>
    </row>
    <row r="93" spans="1:5" ht="12.75">
      <c r="A93" s="14" t="s">
        <v>831</v>
      </c>
      <c r="B93" s="5" t="s">
        <v>80</v>
      </c>
      <c r="C93" s="5" t="s">
        <v>667</v>
      </c>
      <c r="D93" s="5" t="s">
        <v>230</v>
      </c>
      <c r="E93" s="18" t="s">
        <v>960</v>
      </c>
    </row>
    <row r="94" spans="1:5" ht="12.75">
      <c r="A94" s="14" t="s">
        <v>865</v>
      </c>
      <c r="B94" s="5" t="s">
        <v>80</v>
      </c>
      <c r="C94" s="5" t="s">
        <v>105</v>
      </c>
      <c r="D94" s="5" t="s">
        <v>187</v>
      </c>
      <c r="E94" s="18" t="s">
        <v>961</v>
      </c>
    </row>
    <row r="95" spans="1:5" ht="12.75">
      <c r="A95" s="14" t="s">
        <v>813</v>
      </c>
      <c r="B95" s="5" t="s">
        <v>80</v>
      </c>
      <c r="C95" s="5" t="s">
        <v>344</v>
      </c>
      <c r="D95" s="5" t="s">
        <v>166</v>
      </c>
      <c r="E95" s="18" t="s">
        <v>962</v>
      </c>
    </row>
    <row r="96" spans="1:5" ht="12.75">
      <c r="A96" s="14" t="s">
        <v>838</v>
      </c>
      <c r="B96" s="5" t="s">
        <v>80</v>
      </c>
      <c r="C96" s="5" t="s">
        <v>355</v>
      </c>
      <c r="D96" s="5" t="s">
        <v>496</v>
      </c>
      <c r="E96" s="18" t="s">
        <v>963</v>
      </c>
    </row>
    <row r="97" spans="1:5" ht="12.75">
      <c r="A97" s="14" t="s">
        <v>160</v>
      </c>
      <c r="B97" s="5" t="s">
        <v>80</v>
      </c>
      <c r="C97" s="5" t="s">
        <v>101</v>
      </c>
      <c r="D97" s="5" t="s">
        <v>171</v>
      </c>
      <c r="E97" s="18" t="s">
        <v>964</v>
      </c>
    </row>
    <row r="98" spans="1:5" ht="12.75">
      <c r="A98" s="14" t="s">
        <v>534</v>
      </c>
      <c r="B98" s="5" t="s">
        <v>80</v>
      </c>
      <c r="C98" s="5" t="s">
        <v>355</v>
      </c>
      <c r="D98" s="5" t="s">
        <v>141</v>
      </c>
      <c r="E98" s="18" t="s">
        <v>965</v>
      </c>
    </row>
    <row r="99" spans="1:5" ht="12.75">
      <c r="A99" s="14" t="s">
        <v>841</v>
      </c>
      <c r="B99" s="5" t="s">
        <v>80</v>
      </c>
      <c r="C99" s="5" t="s">
        <v>355</v>
      </c>
      <c r="D99" s="5" t="s">
        <v>86</v>
      </c>
      <c r="E99" s="18" t="s">
        <v>966</v>
      </c>
    </row>
    <row r="100" spans="1:5" ht="12.75">
      <c r="A100" s="14" t="s">
        <v>861</v>
      </c>
      <c r="B100" s="5" t="s">
        <v>80</v>
      </c>
      <c r="C100" s="5" t="s">
        <v>101</v>
      </c>
      <c r="D100" s="5" t="s">
        <v>167</v>
      </c>
      <c r="E100" s="18" t="s">
        <v>967</v>
      </c>
    </row>
    <row r="101" spans="1:5" ht="12.75">
      <c r="A101" s="14" t="s">
        <v>851</v>
      </c>
      <c r="B101" s="5" t="s">
        <v>80</v>
      </c>
      <c r="C101" s="5" t="s">
        <v>355</v>
      </c>
      <c r="D101" s="5" t="s">
        <v>141</v>
      </c>
      <c r="E101" s="18" t="s">
        <v>968</v>
      </c>
    </row>
    <row r="102" spans="1:5" ht="12.75">
      <c r="A102" s="14" t="s">
        <v>847</v>
      </c>
      <c r="B102" s="5" t="s">
        <v>80</v>
      </c>
      <c r="C102" s="5" t="s">
        <v>355</v>
      </c>
      <c r="D102" s="5" t="s">
        <v>141</v>
      </c>
      <c r="E102" s="18" t="s">
        <v>968</v>
      </c>
    </row>
    <row r="103" spans="1:5" ht="12.75">
      <c r="A103" s="14" t="s">
        <v>858</v>
      </c>
      <c r="B103" s="5" t="s">
        <v>80</v>
      </c>
      <c r="C103" s="5" t="s">
        <v>355</v>
      </c>
      <c r="D103" s="5" t="s">
        <v>131</v>
      </c>
      <c r="E103" s="18" t="s">
        <v>969</v>
      </c>
    </row>
    <row r="105" spans="1:2" ht="14.25">
      <c r="A105" s="15"/>
      <c r="B105" s="16" t="s">
        <v>404</v>
      </c>
    </row>
    <row r="106" spans="1:5" ht="15">
      <c r="A106" s="17" t="s">
        <v>81</v>
      </c>
      <c r="B106" s="17" t="s">
        <v>82</v>
      </c>
      <c r="C106" s="17" t="s">
        <v>83</v>
      </c>
      <c r="D106" s="17" t="s">
        <v>84</v>
      </c>
      <c r="E106" s="17" t="s">
        <v>85</v>
      </c>
    </row>
    <row r="107" spans="1:5" ht="12.75">
      <c r="A107" s="14" t="s">
        <v>870</v>
      </c>
      <c r="B107" s="5" t="s">
        <v>675</v>
      </c>
      <c r="C107" s="5" t="s">
        <v>105</v>
      </c>
      <c r="D107" s="5" t="s">
        <v>86</v>
      </c>
      <c r="E107" s="18" t="s">
        <v>970</v>
      </c>
    </row>
    <row r="108" spans="1:5" ht="12.75">
      <c r="A108" s="14" t="s">
        <v>820</v>
      </c>
      <c r="B108" s="5" t="s">
        <v>675</v>
      </c>
      <c r="C108" s="5" t="s">
        <v>344</v>
      </c>
      <c r="D108" s="5" t="s">
        <v>100</v>
      </c>
      <c r="E108" s="18" t="s">
        <v>971</v>
      </c>
    </row>
    <row r="111" spans="1:2" ht="15">
      <c r="A111" s="13" t="s">
        <v>79</v>
      </c>
      <c r="B111" s="13"/>
    </row>
    <row r="112" spans="1:2" ht="14.25">
      <c r="A112" s="15"/>
      <c r="B112" s="16" t="s">
        <v>360</v>
      </c>
    </row>
    <row r="113" spans="1:5" ht="15">
      <c r="A113" s="17" t="s">
        <v>81</v>
      </c>
      <c r="B113" s="17" t="s">
        <v>82</v>
      </c>
      <c r="C113" s="17" t="s">
        <v>83</v>
      </c>
      <c r="D113" s="17" t="s">
        <v>84</v>
      </c>
      <c r="E113" s="17" t="s">
        <v>85</v>
      </c>
    </row>
    <row r="114" spans="1:5" ht="12.75">
      <c r="A114" s="14" t="s">
        <v>178</v>
      </c>
      <c r="B114" s="5" t="s">
        <v>361</v>
      </c>
      <c r="C114" s="5" t="s">
        <v>150</v>
      </c>
      <c r="D114" s="5" t="s">
        <v>189</v>
      </c>
      <c r="E114" s="18" t="s">
        <v>972</v>
      </c>
    </row>
    <row r="115" spans="1:5" ht="12.75">
      <c r="A115" s="14" t="s">
        <v>884</v>
      </c>
      <c r="B115" s="5" t="s">
        <v>364</v>
      </c>
      <c r="C115" s="5" t="s">
        <v>355</v>
      </c>
      <c r="D115" s="5" t="s">
        <v>345</v>
      </c>
      <c r="E115" s="18" t="s">
        <v>973</v>
      </c>
    </row>
    <row r="116" spans="1:5" ht="12.75">
      <c r="A116" s="14" t="s">
        <v>573</v>
      </c>
      <c r="B116" s="5" t="s">
        <v>367</v>
      </c>
      <c r="C116" s="5" t="s">
        <v>105</v>
      </c>
      <c r="D116" s="5" t="s">
        <v>239</v>
      </c>
      <c r="E116" s="18" t="s">
        <v>974</v>
      </c>
    </row>
    <row r="117" spans="1:5" ht="12.75">
      <c r="A117" s="14" t="s">
        <v>191</v>
      </c>
      <c r="B117" s="5" t="s">
        <v>361</v>
      </c>
      <c r="C117" s="5" t="s">
        <v>101</v>
      </c>
      <c r="D117" s="5" t="s">
        <v>198</v>
      </c>
      <c r="E117" s="18" t="s">
        <v>975</v>
      </c>
    </row>
    <row r="118" spans="1:5" ht="12.75">
      <c r="A118" s="14" t="s">
        <v>907</v>
      </c>
      <c r="B118" s="5" t="s">
        <v>364</v>
      </c>
      <c r="C118" s="5" t="s">
        <v>101</v>
      </c>
      <c r="D118" s="5" t="s">
        <v>187</v>
      </c>
      <c r="E118" s="18" t="s">
        <v>976</v>
      </c>
    </row>
    <row r="119" spans="1:5" ht="12.75">
      <c r="A119" s="14" t="s">
        <v>898</v>
      </c>
      <c r="B119" s="5" t="s">
        <v>361</v>
      </c>
      <c r="C119" s="5" t="s">
        <v>101</v>
      </c>
      <c r="D119" s="5" t="s">
        <v>197</v>
      </c>
      <c r="E119" s="18" t="s">
        <v>977</v>
      </c>
    </row>
    <row r="120" spans="1:5" ht="12.75">
      <c r="A120" s="14" t="s">
        <v>880</v>
      </c>
      <c r="B120" s="5" t="s">
        <v>361</v>
      </c>
      <c r="C120" s="5" t="s">
        <v>355</v>
      </c>
      <c r="D120" s="5" t="s">
        <v>229</v>
      </c>
      <c r="E120" s="18" t="s">
        <v>978</v>
      </c>
    </row>
    <row r="122" spans="1:2" ht="14.25">
      <c r="A122" s="15"/>
      <c r="B122" s="16" t="s">
        <v>372</v>
      </c>
    </row>
    <row r="123" spans="1:5" ht="15">
      <c r="A123" s="17" t="s">
        <v>81</v>
      </c>
      <c r="B123" s="17" t="s">
        <v>82</v>
      </c>
      <c r="C123" s="17" t="s">
        <v>83</v>
      </c>
      <c r="D123" s="17" t="s">
        <v>84</v>
      </c>
      <c r="E123" s="17" t="s">
        <v>85</v>
      </c>
    </row>
    <row r="124" spans="1:5" ht="12.75">
      <c r="A124" s="14" t="s">
        <v>888</v>
      </c>
      <c r="B124" s="5" t="s">
        <v>348</v>
      </c>
      <c r="C124" s="5" t="s">
        <v>355</v>
      </c>
      <c r="D124" s="5" t="s">
        <v>457</v>
      </c>
      <c r="E124" s="18" t="s">
        <v>979</v>
      </c>
    </row>
    <row r="125" spans="1:5" ht="12.75">
      <c r="A125" s="14" t="s">
        <v>279</v>
      </c>
      <c r="B125" s="5" t="s">
        <v>348</v>
      </c>
      <c r="C125" s="5" t="s">
        <v>133</v>
      </c>
      <c r="D125" s="5" t="s">
        <v>253</v>
      </c>
      <c r="E125" s="18" t="s">
        <v>980</v>
      </c>
    </row>
    <row r="127" spans="1:2" ht="14.25">
      <c r="A127" s="15"/>
      <c r="B127" s="16" t="s">
        <v>80</v>
      </c>
    </row>
    <row r="128" spans="1:5" ht="15">
      <c r="A128" s="17" t="s">
        <v>81</v>
      </c>
      <c r="B128" s="17" t="s">
        <v>82</v>
      </c>
      <c r="C128" s="17" t="s">
        <v>83</v>
      </c>
      <c r="D128" s="17" t="s">
        <v>84</v>
      </c>
      <c r="E128" s="17" t="s">
        <v>85</v>
      </c>
    </row>
    <row r="129" spans="1:5" ht="12.75">
      <c r="A129" s="14" t="s">
        <v>919</v>
      </c>
      <c r="B129" s="5" t="s">
        <v>80</v>
      </c>
      <c r="C129" s="5" t="s">
        <v>105</v>
      </c>
      <c r="D129" s="5" t="s">
        <v>924</v>
      </c>
      <c r="E129" s="18" t="s">
        <v>981</v>
      </c>
    </row>
    <row r="130" spans="1:5" ht="12.75">
      <c r="A130" s="14" t="s">
        <v>288</v>
      </c>
      <c r="B130" s="5" t="s">
        <v>80</v>
      </c>
      <c r="C130" s="5" t="s">
        <v>133</v>
      </c>
      <c r="D130" s="5" t="s">
        <v>71</v>
      </c>
      <c r="E130" s="18" t="s">
        <v>982</v>
      </c>
    </row>
    <row r="131" spans="1:5" ht="12.75">
      <c r="A131" s="14" t="s">
        <v>909</v>
      </c>
      <c r="B131" s="5" t="s">
        <v>80</v>
      </c>
      <c r="C131" s="5" t="s">
        <v>101</v>
      </c>
      <c r="D131" s="5" t="s">
        <v>314</v>
      </c>
      <c r="E131" s="18" t="s">
        <v>983</v>
      </c>
    </row>
    <row r="132" spans="1:5" ht="12.75">
      <c r="A132" s="14" t="s">
        <v>199</v>
      </c>
      <c r="B132" s="5" t="s">
        <v>80</v>
      </c>
      <c r="C132" s="5" t="s">
        <v>101</v>
      </c>
      <c r="D132" s="5" t="s">
        <v>210</v>
      </c>
      <c r="E132" s="18" t="s">
        <v>984</v>
      </c>
    </row>
    <row r="133" spans="1:5" ht="12.75">
      <c r="A133" s="14" t="s">
        <v>584</v>
      </c>
      <c r="B133" s="5" t="s">
        <v>80</v>
      </c>
      <c r="C133" s="5" t="s">
        <v>105</v>
      </c>
      <c r="D133" s="5" t="s">
        <v>252</v>
      </c>
      <c r="E133" s="18" t="s">
        <v>985</v>
      </c>
    </row>
    <row r="134" spans="1:5" ht="12.75">
      <c r="A134" s="14" t="s">
        <v>650</v>
      </c>
      <c r="B134" s="5" t="s">
        <v>80</v>
      </c>
      <c r="C134" s="5" t="s">
        <v>268</v>
      </c>
      <c r="D134" s="5" t="s">
        <v>294</v>
      </c>
      <c r="E134" s="18" t="s">
        <v>986</v>
      </c>
    </row>
    <row r="135" spans="1:5" ht="12.75">
      <c r="A135" s="14" t="s">
        <v>546</v>
      </c>
      <c r="B135" s="5" t="s">
        <v>80</v>
      </c>
      <c r="C135" s="5" t="s">
        <v>355</v>
      </c>
      <c r="D135" s="5" t="s">
        <v>219</v>
      </c>
      <c r="E135" s="18" t="s">
        <v>987</v>
      </c>
    </row>
    <row r="136" spans="1:5" ht="12.75">
      <c r="A136" s="14" t="s">
        <v>925</v>
      </c>
      <c r="B136" s="5" t="s">
        <v>80</v>
      </c>
      <c r="C136" s="5" t="s">
        <v>105</v>
      </c>
      <c r="D136" s="5" t="s">
        <v>418</v>
      </c>
      <c r="E136" s="18" t="s">
        <v>988</v>
      </c>
    </row>
    <row r="137" spans="1:5" ht="12.75">
      <c r="A137" s="14" t="s">
        <v>914</v>
      </c>
      <c r="B137" s="5" t="s">
        <v>80</v>
      </c>
      <c r="C137" s="5" t="s">
        <v>101</v>
      </c>
      <c r="D137" s="5" t="s">
        <v>219</v>
      </c>
      <c r="E137" s="18" t="s">
        <v>989</v>
      </c>
    </row>
    <row r="138" spans="1:5" ht="12.75">
      <c r="A138" s="14" t="s">
        <v>935</v>
      </c>
      <c r="B138" s="5" t="s">
        <v>80</v>
      </c>
      <c r="C138" s="5" t="s">
        <v>133</v>
      </c>
      <c r="D138" s="5" t="s">
        <v>314</v>
      </c>
      <c r="E138" s="18" t="s">
        <v>990</v>
      </c>
    </row>
    <row r="139" spans="1:5" ht="12.75">
      <c r="A139" s="14" t="s">
        <v>939</v>
      </c>
      <c r="B139" s="5" t="s">
        <v>80</v>
      </c>
      <c r="C139" s="5" t="s">
        <v>86</v>
      </c>
      <c r="D139" s="5" t="s">
        <v>210</v>
      </c>
      <c r="E139" s="18" t="s">
        <v>991</v>
      </c>
    </row>
    <row r="140" spans="1:5" ht="12.75">
      <c r="A140" s="14" t="s">
        <v>874</v>
      </c>
      <c r="B140" s="5" t="s">
        <v>80</v>
      </c>
      <c r="C140" s="5" t="s">
        <v>150</v>
      </c>
      <c r="D140" s="5" t="s">
        <v>169</v>
      </c>
      <c r="E140" s="18" t="s">
        <v>992</v>
      </c>
    </row>
    <row r="142" spans="1:2" ht="14.25">
      <c r="A142" s="15"/>
      <c r="B142" s="16" t="s">
        <v>404</v>
      </c>
    </row>
    <row r="143" spans="1:5" ht="15">
      <c r="A143" s="17" t="s">
        <v>81</v>
      </c>
      <c r="B143" s="17" t="s">
        <v>82</v>
      </c>
      <c r="C143" s="17" t="s">
        <v>83</v>
      </c>
      <c r="D143" s="17" t="s">
        <v>84</v>
      </c>
      <c r="E143" s="17" t="s">
        <v>85</v>
      </c>
    </row>
    <row r="144" spans="1:5" ht="12.75">
      <c r="A144" s="14" t="s">
        <v>895</v>
      </c>
      <c r="B144" s="5" t="s">
        <v>993</v>
      </c>
      <c r="C144" s="5" t="s">
        <v>355</v>
      </c>
      <c r="D144" s="5" t="s">
        <v>188</v>
      </c>
      <c r="E144" s="18" t="s">
        <v>994</v>
      </c>
    </row>
    <row r="145" spans="1:5" ht="12.75">
      <c r="A145" s="14" t="s">
        <v>954</v>
      </c>
      <c r="B145" s="5" t="s">
        <v>768</v>
      </c>
      <c r="C145" s="5" t="s">
        <v>86</v>
      </c>
      <c r="D145" s="5" t="s">
        <v>322</v>
      </c>
      <c r="E145" s="18" t="s">
        <v>995</v>
      </c>
    </row>
    <row r="146" spans="1:5" ht="12.75">
      <c r="A146" s="14" t="s">
        <v>943</v>
      </c>
      <c r="B146" s="5" t="s">
        <v>675</v>
      </c>
      <c r="C146" s="5" t="s">
        <v>86</v>
      </c>
      <c r="D146" s="5" t="s">
        <v>948</v>
      </c>
      <c r="E146" s="18" t="s">
        <v>996</v>
      </c>
    </row>
    <row r="147" spans="1:5" ht="12.75">
      <c r="A147" s="14" t="s">
        <v>949</v>
      </c>
      <c r="B147" s="5" t="s">
        <v>675</v>
      </c>
      <c r="C147" s="5" t="s">
        <v>86</v>
      </c>
      <c r="D147" s="5" t="s">
        <v>308</v>
      </c>
      <c r="E147" s="18" t="s">
        <v>997</v>
      </c>
    </row>
    <row r="148" spans="1:5" ht="12.75">
      <c r="A148" s="14" t="s">
        <v>932</v>
      </c>
      <c r="B148" s="5" t="s">
        <v>768</v>
      </c>
      <c r="C148" s="5" t="s">
        <v>131</v>
      </c>
      <c r="D148" s="5" t="s">
        <v>198</v>
      </c>
      <c r="E148" s="18" t="s">
        <v>998</v>
      </c>
    </row>
    <row r="149" spans="1:5" ht="12.75">
      <c r="A149" s="14" t="s">
        <v>929</v>
      </c>
      <c r="B149" s="5" t="s">
        <v>675</v>
      </c>
      <c r="C149" s="5" t="s">
        <v>131</v>
      </c>
      <c r="D149" s="5" t="s">
        <v>314</v>
      </c>
      <c r="E149" s="18" t="s">
        <v>999</v>
      </c>
    </row>
  </sheetData>
  <sheetProtection/>
  <mergeCells count="24">
    <mergeCell ref="A57:L57"/>
    <mergeCell ref="A61:L61"/>
    <mergeCell ref="A66:L66"/>
    <mergeCell ref="A72:L72"/>
    <mergeCell ref="A31:L31"/>
    <mergeCell ref="A35:L35"/>
    <mergeCell ref="A42:L42"/>
    <mergeCell ref="A51:L51"/>
    <mergeCell ref="A11:L11"/>
    <mergeCell ref="A15:L15"/>
    <mergeCell ref="A23:L23"/>
    <mergeCell ref="A27:L27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8.1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795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62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270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797</v>
      </c>
      <c r="B6" s="10" t="s">
        <v>798</v>
      </c>
      <c r="C6" s="10" t="s">
        <v>799</v>
      </c>
      <c r="D6" s="10" t="str">
        <f>"0,5560"</f>
        <v>0,5560</v>
      </c>
      <c r="E6" s="10" t="s">
        <v>800</v>
      </c>
      <c r="F6" s="10" t="s">
        <v>801</v>
      </c>
      <c r="G6" s="11" t="s">
        <v>322</v>
      </c>
      <c r="H6" s="12" t="s">
        <v>71</v>
      </c>
      <c r="I6" s="12"/>
      <c r="J6" s="12"/>
      <c r="K6" s="10" t="str">
        <f>"250,0"</f>
        <v>250,0</v>
      </c>
      <c r="L6" s="11" t="str">
        <f>"139,0000"</f>
        <v>139,0000</v>
      </c>
      <c r="M6" s="10" t="s">
        <v>802</v>
      </c>
    </row>
    <row r="8" spans="1:12" ht="15">
      <c r="A8" s="55" t="s">
        <v>327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0" t="s">
        <v>803</v>
      </c>
      <c r="B9" s="10" t="s">
        <v>726</v>
      </c>
      <c r="C9" s="10" t="s">
        <v>727</v>
      </c>
      <c r="D9" s="10" t="str">
        <f>"0,5292"</f>
        <v>0,5292</v>
      </c>
      <c r="E9" s="10" t="s">
        <v>728</v>
      </c>
      <c r="F9" s="10" t="s">
        <v>113</v>
      </c>
      <c r="G9" s="11" t="s">
        <v>436</v>
      </c>
      <c r="H9" s="11" t="s">
        <v>474</v>
      </c>
      <c r="I9" s="11" t="s">
        <v>370</v>
      </c>
      <c r="J9" s="12"/>
      <c r="K9" s="10" t="str">
        <f>"332,5"</f>
        <v>332,5</v>
      </c>
      <c r="L9" s="11" t="str">
        <f>"175,9590"</f>
        <v>175,9590</v>
      </c>
      <c r="M9" s="10" t="s">
        <v>78</v>
      </c>
    </row>
    <row r="11" ht="15">
      <c r="E11" s="8" t="s">
        <v>52</v>
      </c>
    </row>
    <row r="12" ht="15">
      <c r="E12" s="8" t="s">
        <v>53</v>
      </c>
    </row>
    <row r="13" ht="15">
      <c r="E13" s="8" t="s">
        <v>54</v>
      </c>
    </row>
    <row r="14" ht="15">
      <c r="E14" s="8" t="s">
        <v>55</v>
      </c>
    </row>
    <row r="15" ht="15">
      <c r="E15" s="8" t="s">
        <v>55</v>
      </c>
    </row>
    <row r="16" ht="15">
      <c r="E16" s="8" t="s">
        <v>56</v>
      </c>
    </row>
    <row r="17" ht="15">
      <c r="E17" s="8"/>
    </row>
    <row r="19" spans="1:2" ht="18">
      <c r="A19" s="9" t="s">
        <v>57</v>
      </c>
      <c r="B19" s="9"/>
    </row>
    <row r="20" spans="1:2" ht="15">
      <c r="A20" s="13" t="s">
        <v>79</v>
      </c>
      <c r="B20" s="13"/>
    </row>
    <row r="21" spans="1:2" ht="14.25">
      <c r="A21" s="15"/>
      <c r="B21" s="16" t="s">
        <v>80</v>
      </c>
    </row>
    <row r="22" spans="1:5" ht="15">
      <c r="A22" s="17" t="s">
        <v>81</v>
      </c>
      <c r="B22" s="17" t="s">
        <v>82</v>
      </c>
      <c r="C22" s="17" t="s">
        <v>83</v>
      </c>
      <c r="D22" s="17" t="s">
        <v>84</v>
      </c>
      <c r="E22" s="17" t="s">
        <v>85</v>
      </c>
    </row>
    <row r="23" spans="1:5" ht="12.75">
      <c r="A23" s="14" t="s">
        <v>724</v>
      </c>
      <c r="B23" s="5" t="s">
        <v>80</v>
      </c>
      <c r="C23" s="5" t="s">
        <v>268</v>
      </c>
      <c r="D23" s="5" t="s">
        <v>370</v>
      </c>
      <c r="E23" s="18" t="s">
        <v>804</v>
      </c>
    </row>
    <row r="24" spans="1:5" ht="12.75">
      <c r="A24" s="14" t="s">
        <v>796</v>
      </c>
      <c r="B24" s="5" t="s">
        <v>80</v>
      </c>
      <c r="C24" s="5" t="s">
        <v>133</v>
      </c>
      <c r="D24" s="5" t="s">
        <v>322</v>
      </c>
      <c r="E24" s="18" t="s">
        <v>805</v>
      </c>
    </row>
  </sheetData>
  <sheetProtection/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17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1.25390625" style="5" bestFit="1" customWidth="1"/>
    <col min="14" max="16384" width="9.125" style="4" customWidth="1"/>
  </cols>
  <sheetData>
    <row r="1" spans="1:13" s="3" customFormat="1" ht="28.5" customHeight="1">
      <c r="A1" s="52" t="s">
        <v>787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62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214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789</v>
      </c>
      <c r="B6" s="10" t="s">
        <v>790</v>
      </c>
      <c r="C6" s="10" t="s">
        <v>791</v>
      </c>
      <c r="D6" s="10" t="str">
        <f>"0,6329"</f>
        <v>0,6329</v>
      </c>
      <c r="E6" s="10" t="s">
        <v>563</v>
      </c>
      <c r="F6" s="10" t="s">
        <v>792</v>
      </c>
      <c r="G6" s="11" t="s">
        <v>205</v>
      </c>
      <c r="H6" s="12" t="s">
        <v>285</v>
      </c>
      <c r="I6" s="11" t="s">
        <v>307</v>
      </c>
      <c r="J6" s="12"/>
      <c r="K6" s="10" t="str">
        <f>"185,0"</f>
        <v>185,0</v>
      </c>
      <c r="L6" s="11" t="str">
        <f>"199,0470"</f>
        <v>199,0470</v>
      </c>
      <c r="M6" s="10" t="s">
        <v>568</v>
      </c>
    </row>
    <row r="8" ht="15">
      <c r="E8" s="8" t="s">
        <v>52</v>
      </c>
    </row>
    <row r="9" ht="15">
      <c r="E9" s="8" t="s">
        <v>53</v>
      </c>
    </row>
    <row r="10" ht="15">
      <c r="E10" s="8" t="s">
        <v>54</v>
      </c>
    </row>
    <row r="11" ht="15">
      <c r="E11" s="8" t="s">
        <v>55</v>
      </c>
    </row>
    <row r="12" ht="15">
      <c r="E12" s="8" t="s">
        <v>55</v>
      </c>
    </row>
    <row r="13" ht="15">
      <c r="E13" s="8" t="s">
        <v>56</v>
      </c>
    </row>
    <row r="14" ht="15">
      <c r="E14" s="8"/>
    </row>
    <row r="16" spans="1:2" ht="18">
      <c r="A16" s="9" t="s">
        <v>57</v>
      </c>
      <c r="B16" s="9"/>
    </row>
    <row r="17" spans="1:2" ht="15">
      <c r="A17" s="13" t="s">
        <v>79</v>
      </c>
      <c r="B17" s="13"/>
    </row>
    <row r="18" spans="1:2" ht="14.25">
      <c r="A18" s="15"/>
      <c r="B18" s="16" t="s">
        <v>404</v>
      </c>
    </row>
    <row r="19" spans="1:5" ht="15">
      <c r="A19" s="17" t="s">
        <v>81</v>
      </c>
      <c r="B19" s="17" t="s">
        <v>82</v>
      </c>
      <c r="C19" s="17" t="s">
        <v>83</v>
      </c>
      <c r="D19" s="17" t="s">
        <v>84</v>
      </c>
      <c r="E19" s="17" t="s">
        <v>85</v>
      </c>
    </row>
    <row r="20" spans="1:5" ht="12.75">
      <c r="A20" s="14" t="s">
        <v>788</v>
      </c>
      <c r="B20" s="5" t="s">
        <v>793</v>
      </c>
      <c r="C20" s="5" t="s">
        <v>105</v>
      </c>
      <c r="D20" s="5" t="s">
        <v>307</v>
      </c>
      <c r="E20" s="18" t="s">
        <v>794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786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785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784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7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6.25390625" style="5" bestFit="1" customWidth="1"/>
    <col min="14" max="16384" width="9.125" style="4" customWidth="1"/>
  </cols>
  <sheetData>
    <row r="1" spans="1:13" s="3" customFormat="1" ht="28.5" customHeight="1">
      <c r="A1" s="52" t="s">
        <v>771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214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772</v>
      </c>
      <c r="B6" s="10" t="s">
        <v>773</v>
      </c>
      <c r="C6" s="10" t="s">
        <v>774</v>
      </c>
      <c r="D6" s="10" t="str">
        <f>"0,6193"</f>
        <v>0,6193</v>
      </c>
      <c r="E6" s="10" t="s">
        <v>124</v>
      </c>
      <c r="F6" s="10" t="s">
        <v>125</v>
      </c>
      <c r="G6" s="12" t="s">
        <v>210</v>
      </c>
      <c r="H6" s="12" t="s">
        <v>210</v>
      </c>
      <c r="I6" s="12" t="s">
        <v>210</v>
      </c>
      <c r="J6" s="12"/>
      <c r="K6" s="10" t="str">
        <f>"0.00"</f>
        <v>0.00</v>
      </c>
      <c r="L6" s="11" t="str">
        <f>"0,0000"</f>
        <v>0,0000</v>
      </c>
      <c r="M6" s="10" t="s">
        <v>78</v>
      </c>
    </row>
    <row r="8" spans="1:12" ht="15">
      <c r="A8" s="55" t="s">
        <v>327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9" t="s">
        <v>776</v>
      </c>
      <c r="B9" s="19" t="s">
        <v>777</v>
      </c>
      <c r="C9" s="19" t="s">
        <v>778</v>
      </c>
      <c r="D9" s="19" t="str">
        <f>"0,5210"</f>
        <v>0,5210</v>
      </c>
      <c r="E9" s="19" t="s">
        <v>124</v>
      </c>
      <c r="F9" s="19" t="s">
        <v>761</v>
      </c>
      <c r="G9" s="20" t="s">
        <v>322</v>
      </c>
      <c r="H9" s="20" t="s">
        <v>779</v>
      </c>
      <c r="I9" s="20" t="s">
        <v>333</v>
      </c>
      <c r="J9" s="21"/>
      <c r="K9" s="19" t="str">
        <f>"275,0"</f>
        <v>275,0</v>
      </c>
      <c r="L9" s="20" t="str">
        <f>"143,2750"</f>
        <v>143,2750</v>
      </c>
      <c r="M9" s="19" t="s">
        <v>780</v>
      </c>
    </row>
    <row r="10" spans="1:13" ht="12.75">
      <c r="A10" s="22" t="s">
        <v>781</v>
      </c>
      <c r="B10" s="22" t="s">
        <v>731</v>
      </c>
      <c r="C10" s="22" t="s">
        <v>732</v>
      </c>
      <c r="D10" s="22" t="str">
        <f>"0,5259"</f>
        <v>0,5259</v>
      </c>
      <c r="E10" s="22" t="s">
        <v>124</v>
      </c>
      <c r="F10" s="22" t="s">
        <v>125</v>
      </c>
      <c r="G10" s="24" t="s">
        <v>252</v>
      </c>
      <c r="H10" s="24" t="s">
        <v>309</v>
      </c>
      <c r="I10" s="23" t="s">
        <v>333</v>
      </c>
      <c r="J10" s="23"/>
      <c r="K10" s="22" t="str">
        <f>"252,5"</f>
        <v>252,5</v>
      </c>
      <c r="L10" s="24" t="str">
        <f>"132,7898"</f>
        <v>132,7898</v>
      </c>
      <c r="M10" s="22" t="s">
        <v>78</v>
      </c>
    </row>
    <row r="12" ht="15">
      <c r="E12" s="8" t="s">
        <v>52</v>
      </c>
    </row>
    <row r="13" ht="15">
      <c r="E13" s="8" t="s">
        <v>53</v>
      </c>
    </row>
    <row r="14" ht="15">
      <c r="E14" s="8" t="s">
        <v>54</v>
      </c>
    </row>
    <row r="15" ht="15">
      <c r="E15" s="8" t="s">
        <v>55</v>
      </c>
    </row>
    <row r="16" ht="15">
      <c r="E16" s="8" t="s">
        <v>55</v>
      </c>
    </row>
    <row r="17" ht="15">
      <c r="E17" s="8" t="s">
        <v>56</v>
      </c>
    </row>
    <row r="18" ht="15">
      <c r="E18" s="8"/>
    </row>
    <row r="20" spans="1:2" ht="18">
      <c r="A20" s="9" t="s">
        <v>57</v>
      </c>
      <c r="B20" s="9"/>
    </row>
    <row r="21" spans="1:2" ht="15">
      <c r="A21" s="13" t="s">
        <v>79</v>
      </c>
      <c r="B21" s="13"/>
    </row>
    <row r="22" spans="1:2" ht="14.25">
      <c r="A22" s="15"/>
      <c r="B22" s="16" t="s">
        <v>80</v>
      </c>
    </row>
    <row r="23" spans="1:5" ht="15">
      <c r="A23" s="17" t="s">
        <v>81</v>
      </c>
      <c r="B23" s="17" t="s">
        <v>82</v>
      </c>
      <c r="C23" s="17" t="s">
        <v>83</v>
      </c>
      <c r="D23" s="17" t="s">
        <v>84</v>
      </c>
      <c r="E23" s="17" t="s">
        <v>85</v>
      </c>
    </row>
    <row r="24" spans="1:5" ht="12.75">
      <c r="A24" s="14" t="s">
        <v>775</v>
      </c>
      <c r="B24" s="5" t="s">
        <v>80</v>
      </c>
      <c r="C24" s="5" t="s">
        <v>268</v>
      </c>
      <c r="D24" s="5" t="s">
        <v>333</v>
      </c>
      <c r="E24" s="18" t="s">
        <v>782</v>
      </c>
    </row>
    <row r="25" spans="1:5" ht="12.75">
      <c r="A25" s="14" t="s">
        <v>729</v>
      </c>
      <c r="B25" s="5" t="s">
        <v>80</v>
      </c>
      <c r="C25" s="5" t="s">
        <v>268</v>
      </c>
      <c r="D25" s="5" t="s">
        <v>309</v>
      </c>
      <c r="E25" s="18" t="s">
        <v>783</v>
      </c>
    </row>
  </sheetData>
  <sheetProtection/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3.37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5.75390625" style="5" bestFit="1" customWidth="1"/>
    <col min="14" max="16384" width="9.125" style="4" customWidth="1"/>
  </cols>
  <sheetData>
    <row r="1" spans="1:13" s="3" customFormat="1" ht="28.5" customHeight="1">
      <c r="A1" s="52" t="s">
        <v>744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144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9" t="s">
        <v>746</v>
      </c>
      <c r="B6" s="19" t="s">
        <v>747</v>
      </c>
      <c r="C6" s="19" t="s">
        <v>748</v>
      </c>
      <c r="D6" s="19" t="str">
        <f>"0,7258"</f>
        <v>0,7258</v>
      </c>
      <c r="E6" s="19" t="s">
        <v>749</v>
      </c>
      <c r="F6" s="19" t="s">
        <v>750</v>
      </c>
      <c r="G6" s="21" t="s">
        <v>239</v>
      </c>
      <c r="H6" s="20" t="s">
        <v>239</v>
      </c>
      <c r="I6" s="21" t="s">
        <v>751</v>
      </c>
      <c r="J6" s="21"/>
      <c r="K6" s="19" t="str">
        <f>"190,0"</f>
        <v>190,0</v>
      </c>
      <c r="L6" s="20" t="str">
        <f>"137,9020"</f>
        <v>137,9020</v>
      </c>
      <c r="M6" s="19" t="s">
        <v>78</v>
      </c>
    </row>
    <row r="7" spans="1:13" ht="12.75">
      <c r="A7" s="22" t="s">
        <v>746</v>
      </c>
      <c r="B7" s="22" t="s">
        <v>752</v>
      </c>
      <c r="C7" s="22" t="s">
        <v>748</v>
      </c>
      <c r="D7" s="22" t="str">
        <f>"0,7258"</f>
        <v>0,7258</v>
      </c>
      <c r="E7" s="22" t="s">
        <v>749</v>
      </c>
      <c r="F7" s="22" t="s">
        <v>750</v>
      </c>
      <c r="G7" s="23" t="s">
        <v>239</v>
      </c>
      <c r="H7" s="24" t="s">
        <v>239</v>
      </c>
      <c r="I7" s="23" t="s">
        <v>751</v>
      </c>
      <c r="J7" s="23"/>
      <c r="K7" s="22" t="str">
        <f>"190,0"</f>
        <v>190,0</v>
      </c>
      <c r="L7" s="24" t="str">
        <f>"137,9020"</f>
        <v>137,9020</v>
      </c>
      <c r="M7" s="22" t="s">
        <v>78</v>
      </c>
    </row>
    <row r="9" spans="1:12" ht="15">
      <c r="A9" s="55" t="s">
        <v>159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3" ht="12.75">
      <c r="A10" s="10" t="s">
        <v>754</v>
      </c>
      <c r="B10" s="10" t="s">
        <v>755</v>
      </c>
      <c r="C10" s="10" t="s">
        <v>194</v>
      </c>
      <c r="D10" s="10" t="str">
        <f>"0,6828"</f>
        <v>0,6828</v>
      </c>
      <c r="E10" s="10" t="s">
        <v>164</v>
      </c>
      <c r="F10" s="10" t="s">
        <v>756</v>
      </c>
      <c r="G10" s="11" t="s">
        <v>187</v>
      </c>
      <c r="H10" s="12" t="s">
        <v>307</v>
      </c>
      <c r="I10" s="12" t="s">
        <v>307</v>
      </c>
      <c r="J10" s="12"/>
      <c r="K10" s="10" t="str">
        <f>"165,0"</f>
        <v>165,0</v>
      </c>
      <c r="L10" s="11" t="str">
        <f>"172,9362"</f>
        <v>172,9362</v>
      </c>
      <c r="M10" s="10" t="s">
        <v>757</v>
      </c>
    </row>
    <row r="12" spans="1:12" ht="15">
      <c r="A12" s="55" t="s">
        <v>247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3" ht="12.75">
      <c r="A13" s="10" t="s">
        <v>759</v>
      </c>
      <c r="B13" s="10" t="s">
        <v>760</v>
      </c>
      <c r="C13" s="10" t="s">
        <v>600</v>
      </c>
      <c r="D13" s="10" t="str">
        <f>"0,5853"</f>
        <v>0,5853</v>
      </c>
      <c r="E13" s="10" t="s">
        <v>124</v>
      </c>
      <c r="F13" s="10" t="s">
        <v>761</v>
      </c>
      <c r="G13" s="11" t="s">
        <v>252</v>
      </c>
      <c r="H13" s="12" t="s">
        <v>254</v>
      </c>
      <c r="I13" s="12" t="s">
        <v>254</v>
      </c>
      <c r="J13" s="12"/>
      <c r="K13" s="10" t="str">
        <f>"230,0"</f>
        <v>230,0</v>
      </c>
      <c r="L13" s="11" t="str">
        <f>"134,6190"</f>
        <v>134,6190</v>
      </c>
      <c r="M13" s="10" t="s">
        <v>419</v>
      </c>
    </row>
    <row r="15" spans="1:12" ht="15">
      <c r="A15" s="55" t="s">
        <v>327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 ht="12.75">
      <c r="A16" s="10" t="s">
        <v>763</v>
      </c>
      <c r="B16" s="10" t="s">
        <v>764</v>
      </c>
      <c r="C16" s="10" t="s">
        <v>765</v>
      </c>
      <c r="D16" s="10" t="str">
        <f>"0,5311"</f>
        <v>0,5311</v>
      </c>
      <c r="E16" s="10" t="s">
        <v>164</v>
      </c>
      <c r="F16" s="10" t="s">
        <v>165</v>
      </c>
      <c r="G16" s="11" t="s">
        <v>220</v>
      </c>
      <c r="H16" s="11" t="s">
        <v>210</v>
      </c>
      <c r="I16" s="11" t="s">
        <v>252</v>
      </c>
      <c r="J16" s="12"/>
      <c r="K16" s="10" t="str">
        <f>"230,0"</f>
        <v>230,0</v>
      </c>
      <c r="L16" s="11" t="str">
        <f>"123,2524"</f>
        <v>123,2524</v>
      </c>
      <c r="M16" s="10" t="s">
        <v>78</v>
      </c>
    </row>
    <row r="18" ht="15">
      <c r="E18" s="8" t="s">
        <v>52</v>
      </c>
    </row>
    <row r="19" ht="15">
      <c r="E19" s="8" t="s">
        <v>53</v>
      </c>
    </row>
    <row r="20" ht="15">
      <c r="E20" s="8" t="s">
        <v>54</v>
      </c>
    </row>
    <row r="21" ht="15">
      <c r="E21" s="8" t="s">
        <v>55</v>
      </c>
    </row>
    <row r="22" ht="15">
      <c r="E22" s="8" t="s">
        <v>55</v>
      </c>
    </row>
    <row r="23" ht="15">
      <c r="E23" s="8" t="s">
        <v>56</v>
      </c>
    </row>
    <row r="24" ht="15">
      <c r="E24" s="8"/>
    </row>
    <row r="26" spans="1:2" ht="18">
      <c r="A26" s="9" t="s">
        <v>57</v>
      </c>
      <c r="B26" s="9"/>
    </row>
    <row r="27" spans="1:2" ht="15">
      <c r="A27" s="13" t="s">
        <v>79</v>
      </c>
      <c r="B27" s="13"/>
    </row>
    <row r="28" spans="1:2" ht="14.25">
      <c r="A28" s="15"/>
      <c r="B28" s="16" t="s">
        <v>372</v>
      </c>
    </row>
    <row r="29" spans="1:5" ht="15">
      <c r="A29" s="17" t="s">
        <v>81</v>
      </c>
      <c r="B29" s="17" t="s">
        <v>82</v>
      </c>
      <c r="C29" s="17" t="s">
        <v>83</v>
      </c>
      <c r="D29" s="17" t="s">
        <v>84</v>
      </c>
      <c r="E29" s="17" t="s">
        <v>85</v>
      </c>
    </row>
    <row r="30" spans="1:5" ht="12.75">
      <c r="A30" s="14" t="s">
        <v>745</v>
      </c>
      <c r="B30" s="5" t="s">
        <v>348</v>
      </c>
      <c r="C30" s="5" t="s">
        <v>355</v>
      </c>
      <c r="D30" s="5" t="s">
        <v>239</v>
      </c>
      <c r="E30" s="18" t="s">
        <v>766</v>
      </c>
    </row>
    <row r="32" spans="1:2" ht="14.25">
      <c r="A32" s="15"/>
      <c r="B32" s="16" t="s">
        <v>80</v>
      </c>
    </row>
    <row r="33" spans="1:5" ht="15">
      <c r="A33" s="17" t="s">
        <v>81</v>
      </c>
      <c r="B33" s="17" t="s">
        <v>82</v>
      </c>
      <c r="C33" s="17" t="s">
        <v>83</v>
      </c>
      <c r="D33" s="17" t="s">
        <v>84</v>
      </c>
      <c r="E33" s="17" t="s">
        <v>85</v>
      </c>
    </row>
    <row r="34" spans="1:5" ht="12.75">
      <c r="A34" s="14" t="s">
        <v>745</v>
      </c>
      <c r="B34" s="5" t="s">
        <v>80</v>
      </c>
      <c r="C34" s="5" t="s">
        <v>355</v>
      </c>
      <c r="D34" s="5" t="s">
        <v>239</v>
      </c>
      <c r="E34" s="18" t="s">
        <v>766</v>
      </c>
    </row>
    <row r="35" spans="1:5" ht="12.75">
      <c r="A35" s="14" t="s">
        <v>758</v>
      </c>
      <c r="B35" s="5" t="s">
        <v>80</v>
      </c>
      <c r="C35" s="5" t="s">
        <v>131</v>
      </c>
      <c r="D35" s="5" t="s">
        <v>252</v>
      </c>
      <c r="E35" s="18" t="s">
        <v>767</v>
      </c>
    </row>
    <row r="37" spans="1:2" ht="14.25">
      <c r="A37" s="15"/>
      <c r="B37" s="16" t="s">
        <v>404</v>
      </c>
    </row>
    <row r="38" spans="1:5" ht="15">
      <c r="A38" s="17" t="s">
        <v>81</v>
      </c>
      <c r="B38" s="17" t="s">
        <v>82</v>
      </c>
      <c r="C38" s="17" t="s">
        <v>83</v>
      </c>
      <c r="D38" s="17" t="s">
        <v>84</v>
      </c>
      <c r="E38" s="17" t="s">
        <v>85</v>
      </c>
    </row>
    <row r="39" spans="1:5" ht="12.75">
      <c r="A39" s="14" t="s">
        <v>753</v>
      </c>
      <c r="B39" s="5" t="s">
        <v>768</v>
      </c>
      <c r="C39" s="5" t="s">
        <v>101</v>
      </c>
      <c r="D39" s="5" t="s">
        <v>187</v>
      </c>
      <c r="E39" s="18" t="s">
        <v>769</v>
      </c>
    </row>
    <row r="40" spans="1:5" ht="12.75">
      <c r="A40" s="14" t="s">
        <v>762</v>
      </c>
      <c r="B40" s="5" t="s">
        <v>675</v>
      </c>
      <c r="C40" s="5" t="s">
        <v>268</v>
      </c>
      <c r="D40" s="5" t="s">
        <v>252</v>
      </c>
      <c r="E40" s="18" t="s">
        <v>770</v>
      </c>
    </row>
  </sheetData>
  <sheetProtection/>
  <mergeCells count="15">
    <mergeCell ref="A9:L9"/>
    <mergeCell ref="A12:L12"/>
    <mergeCell ref="A15:L15"/>
    <mergeCell ref="K3:K4"/>
    <mergeCell ref="L3:L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M3:M4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4.625" style="5" bestFit="1" customWidth="1"/>
    <col min="6" max="6" width="38.1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2.875" style="5" bestFit="1" customWidth="1"/>
    <col min="14" max="16384" width="9.125" style="4" customWidth="1"/>
  </cols>
  <sheetData>
    <row r="1" spans="1:13" s="3" customFormat="1" ht="28.5" customHeight="1">
      <c r="A1" s="52" t="s">
        <v>708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159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410</v>
      </c>
      <c r="B6" s="10" t="s">
        <v>411</v>
      </c>
      <c r="C6" s="10" t="s">
        <v>412</v>
      </c>
      <c r="D6" s="10" t="str">
        <f>"0,7362"</f>
        <v>0,7362</v>
      </c>
      <c r="E6" s="10" t="s">
        <v>413</v>
      </c>
      <c r="F6" s="10" t="s">
        <v>414</v>
      </c>
      <c r="G6" s="11" t="s">
        <v>128</v>
      </c>
      <c r="H6" s="12" t="s">
        <v>130</v>
      </c>
      <c r="I6" s="12" t="s">
        <v>130</v>
      </c>
      <c r="J6" s="12"/>
      <c r="K6" s="10" t="str">
        <f>"40,0"</f>
        <v>40,0</v>
      </c>
      <c r="L6" s="11" t="str">
        <f>"29,4460"</f>
        <v>29,4460</v>
      </c>
      <c r="M6" s="10" t="s">
        <v>78</v>
      </c>
    </row>
    <row r="8" spans="1:12" ht="15">
      <c r="A8" s="55" t="s">
        <v>270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0" t="s">
        <v>710</v>
      </c>
      <c r="B9" s="10" t="s">
        <v>711</v>
      </c>
      <c r="C9" s="10" t="s">
        <v>300</v>
      </c>
      <c r="D9" s="10" t="str">
        <f>"0,5563"</f>
        <v>0,5563</v>
      </c>
      <c r="E9" s="10" t="s">
        <v>124</v>
      </c>
      <c r="F9" s="10" t="s">
        <v>125</v>
      </c>
      <c r="G9" s="11" t="s">
        <v>171</v>
      </c>
      <c r="H9" s="11" t="s">
        <v>205</v>
      </c>
      <c r="I9" s="12" t="s">
        <v>345</v>
      </c>
      <c r="J9" s="12"/>
      <c r="K9" s="10" t="str">
        <f>"160,0"</f>
        <v>160,0</v>
      </c>
      <c r="L9" s="11" t="str">
        <f>"89,0080"</f>
        <v>89,0080</v>
      </c>
      <c r="M9" s="10" t="s">
        <v>78</v>
      </c>
    </row>
    <row r="11" spans="1:12" ht="15">
      <c r="A11" s="55" t="s">
        <v>63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ht="12.75">
      <c r="A12" s="10" t="s">
        <v>713</v>
      </c>
      <c r="B12" s="10" t="s">
        <v>714</v>
      </c>
      <c r="C12" s="10" t="s">
        <v>715</v>
      </c>
      <c r="D12" s="10" t="str">
        <f>"0,5391"</f>
        <v>0,5391</v>
      </c>
      <c r="E12" s="10" t="s">
        <v>182</v>
      </c>
      <c r="F12" s="10" t="s">
        <v>183</v>
      </c>
      <c r="G12" s="11" t="s">
        <v>188</v>
      </c>
      <c r="H12" s="11" t="s">
        <v>502</v>
      </c>
      <c r="I12" s="11" t="s">
        <v>220</v>
      </c>
      <c r="J12" s="12"/>
      <c r="K12" s="10" t="str">
        <f>"200,0"</f>
        <v>200,0</v>
      </c>
      <c r="L12" s="11" t="str">
        <f>"107,8200"</f>
        <v>107,8200</v>
      </c>
      <c r="M12" s="10" t="s">
        <v>78</v>
      </c>
    </row>
    <row r="14" spans="1:12" ht="15">
      <c r="A14" s="55" t="s">
        <v>327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3" ht="12.75">
      <c r="A15" s="19" t="s">
        <v>717</v>
      </c>
      <c r="B15" s="19" t="s">
        <v>718</v>
      </c>
      <c r="C15" s="19" t="s">
        <v>719</v>
      </c>
      <c r="D15" s="19" t="str">
        <f>"0,5246"</f>
        <v>0,5246</v>
      </c>
      <c r="E15" s="19" t="s">
        <v>283</v>
      </c>
      <c r="F15" s="19" t="s">
        <v>284</v>
      </c>
      <c r="G15" s="20" t="s">
        <v>240</v>
      </c>
      <c r="H15" s="20" t="s">
        <v>220</v>
      </c>
      <c r="I15" s="21" t="s">
        <v>209</v>
      </c>
      <c r="J15" s="21"/>
      <c r="K15" s="19" t="str">
        <f>"200,0"</f>
        <v>200,0</v>
      </c>
      <c r="L15" s="20" t="str">
        <f>"104,9200"</f>
        <v>104,9200</v>
      </c>
      <c r="M15" s="19" t="s">
        <v>287</v>
      </c>
    </row>
    <row r="16" spans="1:13" ht="12.75">
      <c r="A16" s="25" t="s">
        <v>721</v>
      </c>
      <c r="B16" s="25" t="s">
        <v>722</v>
      </c>
      <c r="C16" s="25" t="s">
        <v>723</v>
      </c>
      <c r="D16" s="25" t="str">
        <f>"0,5318"</f>
        <v>0,5318</v>
      </c>
      <c r="E16" s="25" t="s">
        <v>413</v>
      </c>
      <c r="F16" s="25" t="s">
        <v>414</v>
      </c>
      <c r="G16" s="27" t="s">
        <v>239</v>
      </c>
      <c r="H16" s="27" t="s">
        <v>220</v>
      </c>
      <c r="I16" s="27" t="s">
        <v>209</v>
      </c>
      <c r="J16" s="26"/>
      <c r="K16" s="25" t="str">
        <f>"205,0"</f>
        <v>205,0</v>
      </c>
      <c r="L16" s="27" t="str">
        <f>"109,0190"</f>
        <v>109,0190</v>
      </c>
      <c r="M16" s="25" t="s">
        <v>78</v>
      </c>
    </row>
    <row r="17" spans="1:13" ht="12.75">
      <c r="A17" s="25" t="s">
        <v>725</v>
      </c>
      <c r="B17" s="25" t="s">
        <v>726</v>
      </c>
      <c r="C17" s="25" t="s">
        <v>727</v>
      </c>
      <c r="D17" s="25" t="str">
        <f>"0,5292"</f>
        <v>0,5292</v>
      </c>
      <c r="E17" s="25" t="s">
        <v>728</v>
      </c>
      <c r="F17" s="25" t="s">
        <v>113</v>
      </c>
      <c r="G17" s="27" t="s">
        <v>188</v>
      </c>
      <c r="H17" s="27" t="s">
        <v>307</v>
      </c>
      <c r="I17" s="27" t="s">
        <v>457</v>
      </c>
      <c r="J17" s="26"/>
      <c r="K17" s="25" t="str">
        <f>"192,5"</f>
        <v>192,5</v>
      </c>
      <c r="L17" s="27" t="str">
        <f>"101,8710"</f>
        <v>101,8710</v>
      </c>
      <c r="M17" s="25" t="s">
        <v>78</v>
      </c>
    </row>
    <row r="18" spans="1:13" ht="12.75">
      <c r="A18" s="22" t="s">
        <v>730</v>
      </c>
      <c r="B18" s="22" t="s">
        <v>731</v>
      </c>
      <c r="C18" s="22" t="s">
        <v>732</v>
      </c>
      <c r="D18" s="22" t="str">
        <f>"0,5259"</f>
        <v>0,5259</v>
      </c>
      <c r="E18" s="22" t="s">
        <v>124</v>
      </c>
      <c r="F18" s="22" t="s">
        <v>125</v>
      </c>
      <c r="G18" s="23" t="s">
        <v>239</v>
      </c>
      <c r="H18" s="23" t="s">
        <v>239</v>
      </c>
      <c r="I18" s="23"/>
      <c r="J18" s="23"/>
      <c r="K18" s="22" t="str">
        <f>"0.00"</f>
        <v>0.00</v>
      </c>
      <c r="L18" s="24" t="str">
        <f>"0,0000"</f>
        <v>0,0000</v>
      </c>
      <c r="M18" s="22" t="s">
        <v>78</v>
      </c>
    </row>
    <row r="20" spans="1:12" ht="15">
      <c r="A20" s="55" t="s">
        <v>656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3" ht="12.75">
      <c r="A21" s="10" t="s">
        <v>734</v>
      </c>
      <c r="B21" s="10" t="s">
        <v>735</v>
      </c>
      <c r="C21" s="10" t="s">
        <v>736</v>
      </c>
      <c r="D21" s="10" t="str">
        <f>"0,5047"</f>
        <v>0,5047</v>
      </c>
      <c r="E21" s="10" t="s">
        <v>283</v>
      </c>
      <c r="F21" s="10" t="s">
        <v>284</v>
      </c>
      <c r="G21" s="11" t="s">
        <v>209</v>
      </c>
      <c r="H21" s="12" t="s">
        <v>277</v>
      </c>
      <c r="I21" s="12" t="s">
        <v>277</v>
      </c>
      <c r="J21" s="12"/>
      <c r="K21" s="10" t="str">
        <f>"205,0"</f>
        <v>205,0</v>
      </c>
      <c r="L21" s="11" t="str">
        <f>"103,4656"</f>
        <v>103,4656</v>
      </c>
      <c r="M21" s="10" t="s">
        <v>287</v>
      </c>
    </row>
    <row r="23" ht="15">
      <c r="E23" s="8" t="s">
        <v>52</v>
      </c>
    </row>
    <row r="24" ht="15">
      <c r="E24" s="8" t="s">
        <v>53</v>
      </c>
    </row>
    <row r="25" ht="15">
      <c r="E25" s="8" t="s">
        <v>54</v>
      </c>
    </row>
    <row r="26" ht="15">
      <c r="E26" s="8" t="s">
        <v>55</v>
      </c>
    </row>
    <row r="27" ht="15">
      <c r="E27" s="8" t="s">
        <v>55</v>
      </c>
    </row>
    <row r="28" ht="15">
      <c r="E28" s="8" t="s">
        <v>56</v>
      </c>
    </row>
    <row r="29" ht="15">
      <c r="E29" s="8"/>
    </row>
    <row r="31" spans="1:2" ht="18">
      <c r="A31" s="9" t="s">
        <v>57</v>
      </c>
      <c r="B31" s="9"/>
    </row>
    <row r="32" spans="1:2" ht="15">
      <c r="A32" s="13" t="s">
        <v>341</v>
      </c>
      <c r="B32" s="13"/>
    </row>
    <row r="33" spans="1:2" ht="14.25">
      <c r="A33" s="15"/>
      <c r="B33" s="16" t="s">
        <v>80</v>
      </c>
    </row>
    <row r="34" spans="1:5" ht="15">
      <c r="A34" s="17" t="s">
        <v>81</v>
      </c>
      <c r="B34" s="17" t="s">
        <v>82</v>
      </c>
      <c r="C34" s="17" t="s">
        <v>83</v>
      </c>
      <c r="D34" s="17" t="s">
        <v>84</v>
      </c>
      <c r="E34" s="17" t="s">
        <v>85</v>
      </c>
    </row>
    <row r="35" spans="1:5" ht="12.75">
      <c r="A35" s="14" t="s">
        <v>409</v>
      </c>
      <c r="B35" s="5" t="s">
        <v>80</v>
      </c>
      <c r="C35" s="5" t="s">
        <v>101</v>
      </c>
      <c r="D35" s="5" t="s">
        <v>128</v>
      </c>
      <c r="E35" s="18" t="s">
        <v>737</v>
      </c>
    </row>
    <row r="38" spans="1:2" ht="15">
      <c r="A38" s="13" t="s">
        <v>79</v>
      </c>
      <c r="B38" s="13"/>
    </row>
    <row r="39" spans="1:2" ht="14.25">
      <c r="A39" s="15"/>
      <c r="B39" s="16" t="s">
        <v>372</v>
      </c>
    </row>
    <row r="40" spans="1:5" ht="15">
      <c r="A40" s="17" t="s">
        <v>81</v>
      </c>
      <c r="B40" s="17" t="s">
        <v>82</v>
      </c>
      <c r="C40" s="17" t="s">
        <v>83</v>
      </c>
      <c r="D40" s="17" t="s">
        <v>84</v>
      </c>
      <c r="E40" s="17" t="s">
        <v>85</v>
      </c>
    </row>
    <row r="41" spans="1:5" ht="12.75">
      <c r="A41" s="14" t="s">
        <v>716</v>
      </c>
      <c r="B41" s="5" t="s">
        <v>348</v>
      </c>
      <c r="C41" s="5" t="s">
        <v>268</v>
      </c>
      <c r="D41" s="5" t="s">
        <v>220</v>
      </c>
      <c r="E41" s="18" t="s">
        <v>738</v>
      </c>
    </row>
    <row r="43" spans="1:2" ht="14.25">
      <c r="A43" s="15"/>
      <c r="B43" s="16" t="s">
        <v>80</v>
      </c>
    </row>
    <row r="44" spans="1:5" ht="15">
      <c r="A44" s="17" t="s">
        <v>81</v>
      </c>
      <c r="B44" s="17" t="s">
        <v>82</v>
      </c>
      <c r="C44" s="17" t="s">
        <v>83</v>
      </c>
      <c r="D44" s="17" t="s">
        <v>84</v>
      </c>
      <c r="E44" s="17" t="s">
        <v>85</v>
      </c>
    </row>
    <row r="45" spans="1:5" ht="12.75">
      <c r="A45" s="14" t="s">
        <v>720</v>
      </c>
      <c r="B45" s="5" t="s">
        <v>80</v>
      </c>
      <c r="C45" s="5" t="s">
        <v>268</v>
      </c>
      <c r="D45" s="5" t="s">
        <v>209</v>
      </c>
      <c r="E45" s="18" t="s">
        <v>739</v>
      </c>
    </row>
    <row r="46" spans="1:5" ht="12.75">
      <c r="A46" s="14" t="s">
        <v>712</v>
      </c>
      <c r="B46" s="5" t="s">
        <v>80</v>
      </c>
      <c r="C46" s="5" t="s">
        <v>86</v>
      </c>
      <c r="D46" s="5" t="s">
        <v>220</v>
      </c>
      <c r="E46" s="18" t="s">
        <v>740</v>
      </c>
    </row>
    <row r="47" spans="1:5" ht="12.75">
      <c r="A47" s="14" t="s">
        <v>733</v>
      </c>
      <c r="B47" s="5" t="s">
        <v>80</v>
      </c>
      <c r="C47" s="5" t="s">
        <v>170</v>
      </c>
      <c r="D47" s="5" t="s">
        <v>209</v>
      </c>
      <c r="E47" s="18" t="s">
        <v>741</v>
      </c>
    </row>
    <row r="48" spans="1:5" ht="12.75">
      <c r="A48" s="14" t="s">
        <v>724</v>
      </c>
      <c r="B48" s="5" t="s">
        <v>80</v>
      </c>
      <c r="C48" s="5" t="s">
        <v>268</v>
      </c>
      <c r="D48" s="5" t="s">
        <v>457</v>
      </c>
      <c r="E48" s="18" t="s">
        <v>742</v>
      </c>
    </row>
    <row r="50" spans="1:2" ht="14.25">
      <c r="A50" s="15"/>
      <c r="B50" s="16" t="s">
        <v>404</v>
      </c>
    </row>
    <row r="51" spans="1:5" ht="15">
      <c r="A51" s="17" t="s">
        <v>81</v>
      </c>
      <c r="B51" s="17" t="s">
        <v>82</v>
      </c>
      <c r="C51" s="17" t="s">
        <v>83</v>
      </c>
      <c r="D51" s="17" t="s">
        <v>84</v>
      </c>
      <c r="E51" s="17" t="s">
        <v>85</v>
      </c>
    </row>
    <row r="52" spans="1:5" ht="12.75">
      <c r="A52" s="14" t="s">
        <v>709</v>
      </c>
      <c r="B52" s="5" t="s">
        <v>675</v>
      </c>
      <c r="C52" s="5" t="s">
        <v>133</v>
      </c>
      <c r="D52" s="5" t="s">
        <v>205</v>
      </c>
      <c r="E52" s="18" t="s">
        <v>743</v>
      </c>
    </row>
  </sheetData>
  <sheetProtection/>
  <mergeCells count="16">
    <mergeCell ref="A8:L8"/>
    <mergeCell ref="A11:L11"/>
    <mergeCell ref="A14:L14"/>
    <mergeCell ref="A20:L20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E45" sqref="E45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35.625" style="5" bestFit="1" customWidth="1"/>
    <col min="6" max="6" width="39.375" style="5" bestFit="1" customWidth="1"/>
    <col min="7" max="9" width="6.87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20.375" style="5" bestFit="1" customWidth="1"/>
    <col min="14" max="16384" width="9.125" style="4" customWidth="1"/>
  </cols>
  <sheetData>
    <row r="1" spans="1:13" s="3" customFormat="1" ht="28.5" customHeight="1">
      <c r="A1" s="52" t="s">
        <v>513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514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516</v>
      </c>
      <c r="B6" s="10" t="s">
        <v>517</v>
      </c>
      <c r="C6" s="10" t="s">
        <v>518</v>
      </c>
      <c r="D6" s="10" t="str">
        <f>"1,1678"</f>
        <v>1,1678</v>
      </c>
      <c r="E6" s="10" t="s">
        <v>519</v>
      </c>
      <c r="F6" s="10" t="s">
        <v>275</v>
      </c>
      <c r="G6" s="11" t="s">
        <v>520</v>
      </c>
      <c r="H6" s="11" t="s">
        <v>114</v>
      </c>
      <c r="I6" s="11" t="s">
        <v>129</v>
      </c>
      <c r="J6" s="12"/>
      <c r="K6" s="10" t="str">
        <f>"47,5"</f>
        <v>47,5</v>
      </c>
      <c r="L6" s="11" t="str">
        <f>"55,4705"</f>
        <v>55,4705</v>
      </c>
      <c r="M6" s="10" t="s">
        <v>78</v>
      </c>
    </row>
    <row r="8" spans="1:12" ht="15">
      <c r="A8" s="55" t="s">
        <v>521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9" t="s">
        <v>523</v>
      </c>
      <c r="B9" s="19" t="s">
        <v>524</v>
      </c>
      <c r="C9" s="19" t="s">
        <v>525</v>
      </c>
      <c r="D9" s="19" t="str">
        <f>"0,9124"</f>
        <v>0,9124</v>
      </c>
      <c r="E9" s="19" t="s">
        <v>97</v>
      </c>
      <c r="F9" s="19" t="s">
        <v>98</v>
      </c>
      <c r="G9" s="20" t="s">
        <v>128</v>
      </c>
      <c r="H9" s="20" t="s">
        <v>114</v>
      </c>
      <c r="I9" s="21" t="s">
        <v>130</v>
      </c>
      <c r="J9" s="21"/>
      <c r="K9" s="19" t="str">
        <f>"45,0"</f>
        <v>45,0</v>
      </c>
      <c r="L9" s="20" t="str">
        <f>"48,4484"</f>
        <v>48,4484</v>
      </c>
      <c r="M9" s="19" t="s">
        <v>78</v>
      </c>
    </row>
    <row r="10" spans="1:13" ht="12.75">
      <c r="A10" s="22" t="s">
        <v>527</v>
      </c>
      <c r="B10" s="22" t="s">
        <v>528</v>
      </c>
      <c r="C10" s="22" t="s">
        <v>529</v>
      </c>
      <c r="D10" s="22" t="str">
        <f>"0,9147"</f>
        <v>0,9147</v>
      </c>
      <c r="E10" s="22" t="s">
        <v>413</v>
      </c>
      <c r="F10" s="22" t="s">
        <v>414</v>
      </c>
      <c r="G10" s="24" t="s">
        <v>128</v>
      </c>
      <c r="H10" s="23" t="s">
        <v>520</v>
      </c>
      <c r="I10" s="23" t="s">
        <v>520</v>
      </c>
      <c r="J10" s="23"/>
      <c r="K10" s="22" t="str">
        <f>"40,0"</f>
        <v>40,0</v>
      </c>
      <c r="L10" s="24" t="str">
        <f>"36,5860"</f>
        <v>36,5860</v>
      </c>
      <c r="M10" s="22" t="s">
        <v>530</v>
      </c>
    </row>
    <row r="12" spans="1:12" ht="15">
      <c r="A12" s="55" t="s">
        <v>134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3" ht="12.75">
      <c r="A13" s="10" t="s">
        <v>532</v>
      </c>
      <c r="B13" s="10" t="s">
        <v>533</v>
      </c>
      <c r="C13" s="10" t="s">
        <v>181</v>
      </c>
      <c r="D13" s="10" t="str">
        <f>"0,8609"</f>
        <v>0,8609</v>
      </c>
      <c r="E13" s="10" t="s">
        <v>413</v>
      </c>
      <c r="F13" s="10" t="s">
        <v>414</v>
      </c>
      <c r="G13" s="11" t="s">
        <v>150</v>
      </c>
      <c r="H13" s="12" t="s">
        <v>100</v>
      </c>
      <c r="I13" s="12" t="s">
        <v>100</v>
      </c>
      <c r="J13" s="12"/>
      <c r="K13" s="10" t="str">
        <f>"60,0"</f>
        <v>60,0</v>
      </c>
      <c r="L13" s="11" t="str">
        <f>"51,6540"</f>
        <v>51,6540</v>
      </c>
      <c r="M13" s="10" t="s">
        <v>530</v>
      </c>
    </row>
    <row r="15" spans="1:12" ht="15">
      <c r="A15" s="55" t="s">
        <v>144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 ht="12.75">
      <c r="A16" s="19" t="s">
        <v>535</v>
      </c>
      <c r="B16" s="19" t="s">
        <v>536</v>
      </c>
      <c r="C16" s="19" t="s">
        <v>537</v>
      </c>
      <c r="D16" s="19" t="str">
        <f>"0,8514"</f>
        <v>0,8514</v>
      </c>
      <c r="E16" s="19" t="s">
        <v>538</v>
      </c>
      <c r="F16" s="19" t="s">
        <v>539</v>
      </c>
      <c r="G16" s="20" t="s">
        <v>128</v>
      </c>
      <c r="H16" s="21" t="s">
        <v>130</v>
      </c>
      <c r="I16" s="20" t="s">
        <v>130</v>
      </c>
      <c r="J16" s="21"/>
      <c r="K16" s="19" t="str">
        <f>"50,0"</f>
        <v>50,0</v>
      </c>
      <c r="L16" s="20" t="str">
        <f>"42,5700"</f>
        <v>42,5700</v>
      </c>
      <c r="M16" s="19" t="s">
        <v>78</v>
      </c>
    </row>
    <row r="17" spans="1:13" ht="12.75">
      <c r="A17" s="22" t="s">
        <v>541</v>
      </c>
      <c r="B17" s="22" t="s">
        <v>542</v>
      </c>
      <c r="C17" s="22" t="s">
        <v>543</v>
      </c>
      <c r="D17" s="22" t="str">
        <f>"0,7933"</f>
        <v>0,7933</v>
      </c>
      <c r="E17" s="22" t="s">
        <v>544</v>
      </c>
      <c r="F17" s="22" t="s">
        <v>545</v>
      </c>
      <c r="G17" s="23" t="s">
        <v>116</v>
      </c>
      <c r="H17" s="24" t="s">
        <v>116</v>
      </c>
      <c r="I17" s="24" t="s">
        <v>150</v>
      </c>
      <c r="J17" s="23"/>
      <c r="K17" s="22" t="str">
        <f>"60,0"</f>
        <v>60,0</v>
      </c>
      <c r="L17" s="24" t="str">
        <f>"48,4548"</f>
        <v>48,4548</v>
      </c>
      <c r="M17" s="22" t="s">
        <v>78</v>
      </c>
    </row>
    <row r="19" spans="1:12" ht="15">
      <c r="A19" s="55" t="s">
        <v>159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3" ht="12.75">
      <c r="A20" s="10" t="s">
        <v>161</v>
      </c>
      <c r="B20" s="10" t="s">
        <v>162</v>
      </c>
      <c r="C20" s="10" t="s">
        <v>163</v>
      </c>
      <c r="D20" s="10" t="str">
        <f>"0,7479"</f>
        <v>0,7479</v>
      </c>
      <c r="E20" s="10" t="s">
        <v>494</v>
      </c>
      <c r="F20" s="10" t="s">
        <v>165</v>
      </c>
      <c r="G20" s="11" t="s">
        <v>100</v>
      </c>
      <c r="H20" s="11" t="s">
        <v>101</v>
      </c>
      <c r="I20" s="12" t="s">
        <v>168</v>
      </c>
      <c r="J20" s="12"/>
      <c r="K20" s="10" t="str">
        <f>"75,0"</f>
        <v>75,0</v>
      </c>
      <c r="L20" s="11" t="str">
        <f>"56,0888"</f>
        <v>56,0888</v>
      </c>
      <c r="M20" s="10" t="s">
        <v>78</v>
      </c>
    </row>
    <row r="22" spans="1:12" ht="15">
      <c r="A22" s="55" t="s">
        <v>144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3" ht="12.75">
      <c r="A23" s="19" t="s">
        <v>547</v>
      </c>
      <c r="B23" s="19" t="s">
        <v>548</v>
      </c>
      <c r="C23" s="19" t="s">
        <v>549</v>
      </c>
      <c r="D23" s="19" t="str">
        <f>"0,7307"</f>
        <v>0,7307</v>
      </c>
      <c r="E23" s="19" t="s">
        <v>320</v>
      </c>
      <c r="F23" s="19" t="s">
        <v>125</v>
      </c>
      <c r="G23" s="21" t="s">
        <v>229</v>
      </c>
      <c r="H23" s="21" t="s">
        <v>268</v>
      </c>
      <c r="I23" s="21" t="s">
        <v>268</v>
      </c>
      <c r="J23" s="21"/>
      <c r="K23" s="19" t="str">
        <f>"0.00"</f>
        <v>0.00</v>
      </c>
      <c r="L23" s="20" t="str">
        <f>"0,0000"</f>
        <v>0,0000</v>
      </c>
      <c r="M23" s="19" t="s">
        <v>78</v>
      </c>
    </row>
    <row r="24" spans="1:13" ht="12.75">
      <c r="A24" s="22" t="s">
        <v>551</v>
      </c>
      <c r="B24" s="22" t="s">
        <v>552</v>
      </c>
      <c r="C24" s="22" t="s">
        <v>553</v>
      </c>
      <c r="D24" s="22" t="str">
        <f>"0,7514"</f>
        <v>0,7514</v>
      </c>
      <c r="E24" s="22" t="s">
        <v>139</v>
      </c>
      <c r="F24" s="22" t="s">
        <v>140</v>
      </c>
      <c r="G24" s="24" t="s">
        <v>150</v>
      </c>
      <c r="H24" s="24" t="s">
        <v>99</v>
      </c>
      <c r="I24" s="23" t="s">
        <v>100</v>
      </c>
      <c r="J24" s="23"/>
      <c r="K24" s="22" t="str">
        <f>"65,0"</f>
        <v>65,0</v>
      </c>
      <c r="L24" s="24" t="str">
        <f>"48,8410"</f>
        <v>48,8410</v>
      </c>
      <c r="M24" s="22" t="s">
        <v>177</v>
      </c>
    </row>
    <row r="26" spans="1:12" ht="15">
      <c r="A26" s="55" t="s">
        <v>159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3" ht="12.75">
      <c r="A27" s="19" t="s">
        <v>555</v>
      </c>
      <c r="B27" s="19" t="s">
        <v>556</v>
      </c>
      <c r="C27" s="19" t="s">
        <v>557</v>
      </c>
      <c r="D27" s="19" t="str">
        <f>"0,6931"</f>
        <v>0,6931</v>
      </c>
      <c r="E27" s="19" t="s">
        <v>68</v>
      </c>
      <c r="F27" s="19" t="s">
        <v>414</v>
      </c>
      <c r="G27" s="20" t="s">
        <v>558</v>
      </c>
      <c r="H27" s="20" t="s">
        <v>101</v>
      </c>
      <c r="I27" s="20" t="s">
        <v>559</v>
      </c>
      <c r="J27" s="21"/>
      <c r="K27" s="19" t="str">
        <f>"80,0"</f>
        <v>80,0</v>
      </c>
      <c r="L27" s="20" t="str">
        <f>"65,4286"</f>
        <v>65,4286</v>
      </c>
      <c r="M27" s="19" t="s">
        <v>78</v>
      </c>
    </row>
    <row r="28" spans="1:13" ht="12.75">
      <c r="A28" s="25" t="s">
        <v>561</v>
      </c>
      <c r="B28" s="25" t="s">
        <v>562</v>
      </c>
      <c r="C28" s="25" t="s">
        <v>412</v>
      </c>
      <c r="D28" s="25" t="str">
        <f>"0,6789"</f>
        <v>0,6789</v>
      </c>
      <c r="E28" s="25" t="s">
        <v>563</v>
      </c>
      <c r="F28" s="25" t="s">
        <v>125</v>
      </c>
      <c r="G28" s="27" t="s">
        <v>268</v>
      </c>
      <c r="H28" s="27" t="s">
        <v>230</v>
      </c>
      <c r="I28" s="26" t="s">
        <v>496</v>
      </c>
      <c r="J28" s="26"/>
      <c r="K28" s="25" t="str">
        <f>"132,5"</f>
        <v>132,5</v>
      </c>
      <c r="L28" s="27" t="str">
        <f>"97,1506"</f>
        <v>97,1506</v>
      </c>
      <c r="M28" s="25" t="s">
        <v>78</v>
      </c>
    </row>
    <row r="29" spans="1:13" ht="12.75">
      <c r="A29" s="25" t="s">
        <v>200</v>
      </c>
      <c r="B29" s="25" t="s">
        <v>201</v>
      </c>
      <c r="C29" s="25" t="s">
        <v>202</v>
      </c>
      <c r="D29" s="25" t="str">
        <f>"0,6645"</f>
        <v>0,6645</v>
      </c>
      <c r="E29" s="25" t="s">
        <v>203</v>
      </c>
      <c r="F29" s="25" t="s">
        <v>204</v>
      </c>
      <c r="G29" s="27" t="s">
        <v>185</v>
      </c>
      <c r="H29" s="27" t="s">
        <v>207</v>
      </c>
      <c r="I29" s="27" t="s">
        <v>208</v>
      </c>
      <c r="J29" s="26"/>
      <c r="K29" s="25" t="str">
        <f>"147,5"</f>
        <v>147,5</v>
      </c>
      <c r="L29" s="27" t="str">
        <f>"98,0137"</f>
        <v>98,0137</v>
      </c>
      <c r="M29" s="25" t="s">
        <v>78</v>
      </c>
    </row>
    <row r="30" spans="1:13" ht="12.75">
      <c r="A30" s="25" t="s">
        <v>565</v>
      </c>
      <c r="B30" s="25" t="s">
        <v>566</v>
      </c>
      <c r="C30" s="25" t="s">
        <v>567</v>
      </c>
      <c r="D30" s="25" t="str">
        <f>"0,6716"</f>
        <v>0,6716</v>
      </c>
      <c r="E30" s="25" t="s">
        <v>563</v>
      </c>
      <c r="F30" s="25" t="s">
        <v>125</v>
      </c>
      <c r="G30" s="27" t="s">
        <v>268</v>
      </c>
      <c r="H30" s="26" t="s">
        <v>496</v>
      </c>
      <c r="I30" s="27" t="s">
        <v>170</v>
      </c>
      <c r="J30" s="26"/>
      <c r="K30" s="25" t="str">
        <f>"140,0"</f>
        <v>140,0</v>
      </c>
      <c r="L30" s="27" t="str">
        <f>"95,7164"</f>
        <v>95,7164</v>
      </c>
      <c r="M30" s="25" t="s">
        <v>568</v>
      </c>
    </row>
    <row r="31" spans="1:13" ht="12.75">
      <c r="A31" s="22" t="s">
        <v>570</v>
      </c>
      <c r="B31" s="22" t="s">
        <v>571</v>
      </c>
      <c r="C31" s="22" t="s">
        <v>572</v>
      </c>
      <c r="D31" s="22" t="str">
        <f>"0,6708"</f>
        <v>0,6708</v>
      </c>
      <c r="E31" s="22" t="s">
        <v>124</v>
      </c>
      <c r="F31" s="22" t="s">
        <v>125</v>
      </c>
      <c r="G31" s="24" t="s">
        <v>132</v>
      </c>
      <c r="H31" s="24" t="s">
        <v>133</v>
      </c>
      <c r="I31" s="24" t="s">
        <v>143</v>
      </c>
      <c r="J31" s="23"/>
      <c r="K31" s="22" t="str">
        <f>"102,5"</f>
        <v>102,5</v>
      </c>
      <c r="L31" s="24" t="str">
        <f>"143,3583"</f>
        <v>143,3583</v>
      </c>
      <c r="M31" s="22" t="s">
        <v>78</v>
      </c>
    </row>
    <row r="33" spans="1:12" ht="15">
      <c r="A33" s="55" t="s">
        <v>214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3" ht="12.75">
      <c r="A34" s="19" t="s">
        <v>487</v>
      </c>
      <c r="B34" s="19" t="s">
        <v>488</v>
      </c>
      <c r="C34" s="19" t="s">
        <v>489</v>
      </c>
      <c r="D34" s="19" t="str">
        <f>"0,6486"</f>
        <v>0,6486</v>
      </c>
      <c r="E34" s="19" t="s">
        <v>124</v>
      </c>
      <c r="F34" s="19" t="s">
        <v>490</v>
      </c>
      <c r="G34" s="20" t="s">
        <v>169</v>
      </c>
      <c r="H34" s="20" t="s">
        <v>185</v>
      </c>
      <c r="I34" s="20" t="s">
        <v>170</v>
      </c>
      <c r="J34" s="21"/>
      <c r="K34" s="19" t="str">
        <f>"140,0"</f>
        <v>140,0</v>
      </c>
      <c r="L34" s="20" t="str">
        <f>"94,4362"</f>
        <v>94,4362</v>
      </c>
      <c r="M34" s="19" t="s">
        <v>78</v>
      </c>
    </row>
    <row r="35" spans="1:13" ht="12.75">
      <c r="A35" s="25" t="s">
        <v>574</v>
      </c>
      <c r="B35" s="25" t="s">
        <v>575</v>
      </c>
      <c r="C35" s="25" t="s">
        <v>576</v>
      </c>
      <c r="D35" s="25" t="str">
        <f>"0,6376"</f>
        <v>0,6376</v>
      </c>
      <c r="E35" s="25" t="s">
        <v>577</v>
      </c>
      <c r="F35" s="25" t="s">
        <v>578</v>
      </c>
      <c r="G35" s="27" t="s">
        <v>151</v>
      </c>
      <c r="H35" s="26" t="s">
        <v>267</v>
      </c>
      <c r="I35" s="26" t="s">
        <v>267</v>
      </c>
      <c r="J35" s="26"/>
      <c r="K35" s="25" t="str">
        <f>"107,5"</f>
        <v>107,5</v>
      </c>
      <c r="L35" s="27" t="str">
        <f>"72,6545"</f>
        <v>72,6545</v>
      </c>
      <c r="M35" s="25" t="s">
        <v>78</v>
      </c>
    </row>
    <row r="36" spans="1:13" ht="12.75">
      <c r="A36" s="25" t="s">
        <v>580</v>
      </c>
      <c r="B36" s="25" t="s">
        <v>581</v>
      </c>
      <c r="C36" s="25" t="s">
        <v>236</v>
      </c>
      <c r="D36" s="25" t="str">
        <f>"0,6301"</f>
        <v>0,6301</v>
      </c>
      <c r="E36" s="25" t="s">
        <v>164</v>
      </c>
      <c r="F36" s="25" t="s">
        <v>582</v>
      </c>
      <c r="G36" s="27" t="s">
        <v>208</v>
      </c>
      <c r="H36" s="27" t="s">
        <v>198</v>
      </c>
      <c r="I36" s="26"/>
      <c r="J36" s="26"/>
      <c r="K36" s="25" t="str">
        <f>"155,0"</f>
        <v>155,0</v>
      </c>
      <c r="L36" s="27" t="str">
        <f>"97,6655"</f>
        <v>97,6655</v>
      </c>
      <c r="M36" s="25" t="s">
        <v>583</v>
      </c>
    </row>
    <row r="37" spans="1:13" ht="12.75">
      <c r="A37" s="25" t="s">
        <v>585</v>
      </c>
      <c r="B37" s="25" t="s">
        <v>586</v>
      </c>
      <c r="C37" s="25" t="s">
        <v>244</v>
      </c>
      <c r="D37" s="25" t="str">
        <f>"0,6290"</f>
        <v>0,6290</v>
      </c>
      <c r="E37" s="25" t="s">
        <v>139</v>
      </c>
      <c r="F37" s="25" t="s">
        <v>587</v>
      </c>
      <c r="G37" s="27" t="s">
        <v>496</v>
      </c>
      <c r="H37" s="27" t="s">
        <v>171</v>
      </c>
      <c r="I37" s="27" t="s">
        <v>197</v>
      </c>
      <c r="J37" s="26"/>
      <c r="K37" s="25" t="str">
        <f>"150,0"</f>
        <v>150,0</v>
      </c>
      <c r="L37" s="27" t="str">
        <f>"94,3500"</f>
        <v>94,3500</v>
      </c>
      <c r="M37" s="25" t="s">
        <v>78</v>
      </c>
    </row>
    <row r="38" spans="1:13" ht="12.75">
      <c r="A38" s="25" t="s">
        <v>588</v>
      </c>
      <c r="B38" s="25" t="s">
        <v>589</v>
      </c>
      <c r="C38" s="25" t="s">
        <v>489</v>
      </c>
      <c r="D38" s="25" t="str">
        <f>"0,6486"</f>
        <v>0,6486</v>
      </c>
      <c r="E38" s="25" t="s">
        <v>124</v>
      </c>
      <c r="F38" s="25" t="s">
        <v>490</v>
      </c>
      <c r="G38" s="27" t="s">
        <v>169</v>
      </c>
      <c r="H38" s="27" t="s">
        <v>185</v>
      </c>
      <c r="I38" s="27" t="s">
        <v>170</v>
      </c>
      <c r="J38" s="26"/>
      <c r="K38" s="25" t="str">
        <f>"140,0"</f>
        <v>140,0</v>
      </c>
      <c r="L38" s="27" t="str">
        <f>"90,8040"</f>
        <v>90,8040</v>
      </c>
      <c r="M38" s="25" t="s">
        <v>78</v>
      </c>
    </row>
    <row r="39" spans="1:13" ht="12.75">
      <c r="A39" s="22" t="s">
        <v>591</v>
      </c>
      <c r="B39" s="22" t="s">
        <v>592</v>
      </c>
      <c r="C39" s="22" t="s">
        <v>225</v>
      </c>
      <c r="D39" s="22" t="str">
        <f>"0,6219"</f>
        <v>0,6219</v>
      </c>
      <c r="E39" s="22" t="s">
        <v>320</v>
      </c>
      <c r="F39" s="22" t="s">
        <v>125</v>
      </c>
      <c r="G39" s="24" t="s">
        <v>268</v>
      </c>
      <c r="H39" s="24" t="s">
        <v>169</v>
      </c>
      <c r="I39" s="23" t="s">
        <v>185</v>
      </c>
      <c r="J39" s="23"/>
      <c r="K39" s="22" t="str">
        <f>"130,0"</f>
        <v>130,0</v>
      </c>
      <c r="L39" s="24" t="str">
        <f>"80,8470"</f>
        <v>80,8470</v>
      </c>
      <c r="M39" s="22" t="s">
        <v>78</v>
      </c>
    </row>
    <row r="41" spans="1:12" ht="15">
      <c r="A41" s="55" t="s">
        <v>247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3" ht="12.75">
      <c r="A42" s="19" t="s">
        <v>594</v>
      </c>
      <c r="B42" s="19" t="s">
        <v>595</v>
      </c>
      <c r="C42" s="19" t="s">
        <v>596</v>
      </c>
      <c r="D42" s="19" t="str">
        <f>"0,5935"</f>
        <v>0,5935</v>
      </c>
      <c r="E42" s="19" t="s">
        <v>124</v>
      </c>
      <c r="F42" s="19" t="s">
        <v>125</v>
      </c>
      <c r="G42" s="20" t="s">
        <v>205</v>
      </c>
      <c r="H42" s="21" t="s">
        <v>206</v>
      </c>
      <c r="I42" s="20" t="s">
        <v>188</v>
      </c>
      <c r="J42" s="21"/>
      <c r="K42" s="19" t="str">
        <f>"175,0"</f>
        <v>175,0</v>
      </c>
      <c r="L42" s="20" t="str">
        <f>"105,9398"</f>
        <v>105,9398</v>
      </c>
      <c r="M42" s="19" t="s">
        <v>78</v>
      </c>
    </row>
    <row r="43" spans="1:13" ht="12.75">
      <c r="A43" s="25" t="s">
        <v>598</v>
      </c>
      <c r="B43" s="25" t="s">
        <v>599</v>
      </c>
      <c r="C43" s="25" t="s">
        <v>600</v>
      </c>
      <c r="D43" s="25" t="str">
        <f>"0,5853"</f>
        <v>0,5853</v>
      </c>
      <c r="E43" s="25" t="s">
        <v>601</v>
      </c>
      <c r="F43" s="25" t="s">
        <v>125</v>
      </c>
      <c r="G43" s="27" t="s">
        <v>239</v>
      </c>
      <c r="H43" s="27" t="s">
        <v>220</v>
      </c>
      <c r="I43" s="26" t="s">
        <v>602</v>
      </c>
      <c r="J43" s="26"/>
      <c r="K43" s="25" t="str">
        <f>"200,0"</f>
        <v>200,0</v>
      </c>
      <c r="L43" s="27" t="str">
        <f>"117,0600"</f>
        <v>117,0600</v>
      </c>
      <c r="M43" s="25" t="s">
        <v>78</v>
      </c>
    </row>
    <row r="44" spans="1:13" ht="12.75">
      <c r="A44" s="25" t="s">
        <v>604</v>
      </c>
      <c r="B44" s="25" t="s">
        <v>605</v>
      </c>
      <c r="C44" s="25" t="s">
        <v>606</v>
      </c>
      <c r="D44" s="25" t="str">
        <f>"0,5857"</f>
        <v>0,5857</v>
      </c>
      <c r="E44" s="25" t="s">
        <v>340</v>
      </c>
      <c r="F44" s="25" t="s">
        <v>275</v>
      </c>
      <c r="G44" s="27" t="s">
        <v>205</v>
      </c>
      <c r="H44" s="27" t="s">
        <v>206</v>
      </c>
      <c r="I44" s="26" t="s">
        <v>189</v>
      </c>
      <c r="J44" s="26"/>
      <c r="K44" s="25" t="str">
        <f>"170,0"</f>
        <v>170,0</v>
      </c>
      <c r="L44" s="27" t="str">
        <f>"99,5690"</f>
        <v>99,5690</v>
      </c>
      <c r="M44" s="25" t="s">
        <v>78</v>
      </c>
    </row>
    <row r="45" spans="1:13" ht="12.75">
      <c r="A45" s="22" t="s">
        <v>608</v>
      </c>
      <c r="B45" s="22" t="s">
        <v>609</v>
      </c>
      <c r="C45" s="22" t="s">
        <v>610</v>
      </c>
      <c r="D45" s="22" t="str">
        <f>"0,5893"</f>
        <v>0,5893</v>
      </c>
      <c r="E45" s="22" t="s">
        <v>35</v>
      </c>
      <c r="F45" s="35" t="s">
        <v>611</v>
      </c>
      <c r="G45" s="24" t="s">
        <v>612</v>
      </c>
      <c r="H45" s="24" t="s">
        <v>613</v>
      </c>
      <c r="I45" s="24" t="s">
        <v>73</v>
      </c>
      <c r="J45" s="23"/>
      <c r="K45" s="22" t="str">
        <f>"160,0"</f>
        <v>160,0</v>
      </c>
      <c r="L45" s="24" t="str">
        <f>"94,2880"</f>
        <v>94,2880</v>
      </c>
      <c r="M45" s="22" t="s">
        <v>78</v>
      </c>
    </row>
    <row r="47" spans="1:12" ht="15">
      <c r="A47" s="55" t="s">
        <v>270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3" ht="12.75">
      <c r="A48" s="19" t="s">
        <v>272</v>
      </c>
      <c r="B48" s="19" t="s">
        <v>273</v>
      </c>
      <c r="C48" s="19" t="s">
        <v>274</v>
      </c>
      <c r="D48" s="19" t="str">
        <f>"0,5619"</f>
        <v>0,5619</v>
      </c>
      <c r="E48" s="19" t="s">
        <v>124</v>
      </c>
      <c r="F48" s="19" t="s">
        <v>275</v>
      </c>
      <c r="G48" s="20" t="s">
        <v>198</v>
      </c>
      <c r="H48" s="20" t="s">
        <v>246</v>
      </c>
      <c r="I48" s="21" t="s">
        <v>276</v>
      </c>
      <c r="J48" s="21"/>
      <c r="K48" s="19" t="str">
        <f>"157,5"</f>
        <v>157,5</v>
      </c>
      <c r="L48" s="20" t="str">
        <f>"95,5792"</f>
        <v>95,5792</v>
      </c>
      <c r="M48" s="19" t="s">
        <v>78</v>
      </c>
    </row>
    <row r="49" spans="1:13" ht="12.75">
      <c r="A49" s="25" t="s">
        <v>615</v>
      </c>
      <c r="B49" s="25" t="s">
        <v>616</v>
      </c>
      <c r="C49" s="25" t="s">
        <v>617</v>
      </c>
      <c r="D49" s="25" t="str">
        <f>"0,5540"</f>
        <v>0,5540</v>
      </c>
      <c r="E49" s="25" t="s">
        <v>618</v>
      </c>
      <c r="F49" s="25" t="s">
        <v>125</v>
      </c>
      <c r="G49" s="26" t="s">
        <v>205</v>
      </c>
      <c r="H49" s="26" t="s">
        <v>188</v>
      </c>
      <c r="I49" s="27" t="s">
        <v>188</v>
      </c>
      <c r="J49" s="26"/>
      <c r="K49" s="25" t="str">
        <f>"175,0"</f>
        <v>175,0</v>
      </c>
      <c r="L49" s="27" t="str">
        <f>"96,9500"</f>
        <v>96,9500</v>
      </c>
      <c r="M49" s="25" t="s">
        <v>78</v>
      </c>
    </row>
    <row r="50" spans="1:13" ht="12.75">
      <c r="A50" s="25" t="s">
        <v>620</v>
      </c>
      <c r="B50" s="25" t="s">
        <v>621</v>
      </c>
      <c r="C50" s="25" t="s">
        <v>617</v>
      </c>
      <c r="D50" s="25" t="str">
        <f>"0,5540"</f>
        <v>0,5540</v>
      </c>
      <c r="E50" s="25" t="s">
        <v>563</v>
      </c>
      <c r="F50" s="25" t="s">
        <v>69</v>
      </c>
      <c r="G50" s="27" t="s">
        <v>197</v>
      </c>
      <c r="H50" s="27" t="s">
        <v>206</v>
      </c>
      <c r="I50" s="26" t="s">
        <v>502</v>
      </c>
      <c r="J50" s="26"/>
      <c r="K50" s="25" t="str">
        <f>"170,0"</f>
        <v>170,0</v>
      </c>
      <c r="L50" s="27" t="str">
        <f>"94,1800"</f>
        <v>94,1800</v>
      </c>
      <c r="M50" s="25" t="s">
        <v>78</v>
      </c>
    </row>
    <row r="51" spans="1:13" ht="12.75">
      <c r="A51" s="22" t="s">
        <v>623</v>
      </c>
      <c r="B51" s="22" t="s">
        <v>624</v>
      </c>
      <c r="C51" s="22" t="s">
        <v>625</v>
      </c>
      <c r="D51" s="22" t="str">
        <f>"0,5573"</f>
        <v>0,5573</v>
      </c>
      <c r="E51" s="22" t="s">
        <v>626</v>
      </c>
      <c r="F51" s="22" t="s">
        <v>125</v>
      </c>
      <c r="G51" s="24" t="s">
        <v>207</v>
      </c>
      <c r="H51" s="23" t="s">
        <v>171</v>
      </c>
      <c r="I51" s="23" t="s">
        <v>171</v>
      </c>
      <c r="J51" s="23"/>
      <c r="K51" s="22" t="str">
        <f>"142,5"</f>
        <v>142,5</v>
      </c>
      <c r="L51" s="24" t="str">
        <f>"79,4152"</f>
        <v>79,4152</v>
      </c>
      <c r="M51" s="22" t="s">
        <v>627</v>
      </c>
    </row>
    <row r="53" spans="1:12" ht="15">
      <c r="A53" s="55" t="s">
        <v>63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3" ht="12.75">
      <c r="A54" s="19" t="s">
        <v>629</v>
      </c>
      <c r="B54" s="19" t="s">
        <v>630</v>
      </c>
      <c r="C54" s="19" t="s">
        <v>631</v>
      </c>
      <c r="D54" s="19" t="str">
        <f>"0,5392"</f>
        <v>0,5392</v>
      </c>
      <c r="E54" s="19" t="s">
        <v>124</v>
      </c>
      <c r="F54" s="19" t="s">
        <v>125</v>
      </c>
      <c r="G54" s="20" t="s">
        <v>185</v>
      </c>
      <c r="H54" s="20" t="s">
        <v>171</v>
      </c>
      <c r="I54" s="20" t="s">
        <v>269</v>
      </c>
      <c r="J54" s="21"/>
      <c r="K54" s="19" t="str">
        <f>"152,5"</f>
        <v>152,5</v>
      </c>
      <c r="L54" s="20" t="str">
        <f>"82,2280"</f>
        <v>82,2280</v>
      </c>
      <c r="M54" s="19" t="s">
        <v>632</v>
      </c>
    </row>
    <row r="55" spans="1:13" ht="12.75">
      <c r="A55" s="25" t="s">
        <v>633</v>
      </c>
      <c r="B55" s="25" t="s">
        <v>634</v>
      </c>
      <c r="C55" s="25" t="s">
        <v>635</v>
      </c>
      <c r="D55" s="25" t="str">
        <f>"0,5386"</f>
        <v>0,5386</v>
      </c>
      <c r="E55" s="25" t="s">
        <v>636</v>
      </c>
      <c r="F55" s="25" t="s">
        <v>275</v>
      </c>
      <c r="G55" s="26" t="s">
        <v>345</v>
      </c>
      <c r="H55" s="26" t="s">
        <v>345</v>
      </c>
      <c r="I55" s="26" t="s">
        <v>345</v>
      </c>
      <c r="J55" s="26"/>
      <c r="K55" s="25" t="str">
        <f>"0.00"</f>
        <v>0.00</v>
      </c>
      <c r="L55" s="27" t="str">
        <f>"0,0000"</f>
        <v>0,0000</v>
      </c>
      <c r="M55" s="25" t="s">
        <v>78</v>
      </c>
    </row>
    <row r="56" spans="1:13" ht="12.75">
      <c r="A56" s="25" t="s">
        <v>638</v>
      </c>
      <c r="B56" s="25" t="s">
        <v>639</v>
      </c>
      <c r="C56" s="25" t="s">
        <v>640</v>
      </c>
      <c r="D56" s="25" t="str">
        <f>"0,5510"</f>
        <v>0,5510</v>
      </c>
      <c r="E56" s="25" t="s">
        <v>124</v>
      </c>
      <c r="F56" s="25" t="s">
        <v>125</v>
      </c>
      <c r="G56" s="27" t="s">
        <v>205</v>
      </c>
      <c r="H56" s="27" t="s">
        <v>187</v>
      </c>
      <c r="I56" s="26" t="s">
        <v>206</v>
      </c>
      <c r="J56" s="26"/>
      <c r="K56" s="25" t="str">
        <f>"165,0"</f>
        <v>165,0</v>
      </c>
      <c r="L56" s="27" t="str">
        <f>"97,1881"</f>
        <v>97,1881</v>
      </c>
      <c r="M56" s="25" t="s">
        <v>78</v>
      </c>
    </row>
    <row r="57" spans="1:13" ht="12.75">
      <c r="A57" s="25" t="s">
        <v>642</v>
      </c>
      <c r="B57" s="25" t="s">
        <v>643</v>
      </c>
      <c r="C57" s="25" t="s">
        <v>644</v>
      </c>
      <c r="D57" s="25" t="str">
        <f>"0,5376"</f>
        <v>0,5376</v>
      </c>
      <c r="E57" s="25" t="s">
        <v>544</v>
      </c>
      <c r="F57" s="25" t="s">
        <v>545</v>
      </c>
      <c r="G57" s="26" t="s">
        <v>246</v>
      </c>
      <c r="H57" s="27" t="s">
        <v>246</v>
      </c>
      <c r="I57" s="26" t="s">
        <v>345</v>
      </c>
      <c r="J57" s="26"/>
      <c r="K57" s="25" t="str">
        <f>"157,5"</f>
        <v>157,5</v>
      </c>
      <c r="L57" s="27" t="str">
        <f>"96,8648"</f>
        <v>96,8648</v>
      </c>
      <c r="M57" s="25" t="s">
        <v>78</v>
      </c>
    </row>
    <row r="58" spans="1:13" ht="12.75">
      <c r="A58" s="22" t="s">
        <v>646</v>
      </c>
      <c r="B58" s="22" t="s">
        <v>647</v>
      </c>
      <c r="C58" s="22" t="s">
        <v>648</v>
      </c>
      <c r="D58" s="22" t="str">
        <f>"0,5372"</f>
        <v>0,5372</v>
      </c>
      <c r="E58" s="22" t="s">
        <v>649</v>
      </c>
      <c r="F58" s="22" t="s">
        <v>275</v>
      </c>
      <c r="G58" s="24" t="s">
        <v>205</v>
      </c>
      <c r="H58" s="24" t="s">
        <v>345</v>
      </c>
      <c r="I58" s="23" t="s">
        <v>315</v>
      </c>
      <c r="J58" s="23"/>
      <c r="K58" s="22" t="str">
        <f>"167,5"</f>
        <v>167,5</v>
      </c>
      <c r="L58" s="24" t="str">
        <f>"115,2657"</f>
        <v>115,2657</v>
      </c>
      <c r="M58" s="22" t="s">
        <v>78</v>
      </c>
    </row>
    <row r="60" spans="1:12" ht="15">
      <c r="A60" s="55" t="s">
        <v>327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3" ht="12.75">
      <c r="A61" s="19" t="s">
        <v>651</v>
      </c>
      <c r="B61" s="19" t="s">
        <v>652</v>
      </c>
      <c r="C61" s="19" t="s">
        <v>653</v>
      </c>
      <c r="D61" s="19" t="str">
        <f>"0,5281"</f>
        <v>0,5281</v>
      </c>
      <c r="E61" s="19" t="s">
        <v>626</v>
      </c>
      <c r="F61" s="19" t="s">
        <v>125</v>
      </c>
      <c r="G61" s="21" t="s">
        <v>187</v>
      </c>
      <c r="H61" s="20" t="s">
        <v>206</v>
      </c>
      <c r="I61" s="21" t="s">
        <v>188</v>
      </c>
      <c r="J61" s="21"/>
      <c r="K61" s="19" t="str">
        <f>"170,0"</f>
        <v>170,0</v>
      </c>
      <c r="L61" s="20" t="str">
        <f>"89,7770"</f>
        <v>89,7770</v>
      </c>
      <c r="M61" s="19" t="s">
        <v>654</v>
      </c>
    </row>
    <row r="62" spans="1:13" ht="12.75">
      <c r="A62" s="22" t="s">
        <v>498</v>
      </c>
      <c r="B62" s="22" t="s">
        <v>655</v>
      </c>
      <c r="C62" s="22" t="s">
        <v>500</v>
      </c>
      <c r="D62" s="22" t="str">
        <f>"0,5260"</f>
        <v>0,5260</v>
      </c>
      <c r="E62" s="22" t="s">
        <v>501</v>
      </c>
      <c r="F62" s="22" t="s">
        <v>275</v>
      </c>
      <c r="G62" s="23" t="s">
        <v>307</v>
      </c>
      <c r="H62" s="24" t="s">
        <v>239</v>
      </c>
      <c r="I62" s="23" t="s">
        <v>240</v>
      </c>
      <c r="J62" s="23"/>
      <c r="K62" s="22" t="str">
        <f>"190,0"</f>
        <v>190,0</v>
      </c>
      <c r="L62" s="24" t="str">
        <f>"100,2398"</f>
        <v>100,2398</v>
      </c>
      <c r="M62" s="22" t="s">
        <v>78</v>
      </c>
    </row>
    <row r="64" spans="1:12" ht="15">
      <c r="A64" s="55" t="s">
        <v>656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3" ht="12.75">
      <c r="A65" s="10" t="s">
        <v>658</v>
      </c>
      <c r="B65" s="10" t="s">
        <v>659</v>
      </c>
      <c r="C65" s="10" t="s">
        <v>660</v>
      </c>
      <c r="D65" s="10" t="str">
        <f>"0,5126"</f>
        <v>0,5126</v>
      </c>
      <c r="E65" s="10" t="s">
        <v>661</v>
      </c>
      <c r="F65" s="10" t="s">
        <v>125</v>
      </c>
      <c r="G65" s="11" t="s">
        <v>219</v>
      </c>
      <c r="H65" s="11" t="s">
        <v>220</v>
      </c>
      <c r="I65" s="12" t="s">
        <v>418</v>
      </c>
      <c r="J65" s="12"/>
      <c r="K65" s="10" t="str">
        <f>"200,0"</f>
        <v>200,0</v>
      </c>
      <c r="L65" s="11" t="str">
        <f>"102,5200"</f>
        <v>102,5200</v>
      </c>
      <c r="M65" s="10" t="s">
        <v>78</v>
      </c>
    </row>
    <row r="67" spans="1:12" ht="15">
      <c r="A67" s="55" t="s">
        <v>662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3" ht="12.75">
      <c r="A68" s="10" t="s">
        <v>664</v>
      </c>
      <c r="B68" s="10" t="s">
        <v>665</v>
      </c>
      <c r="C68" s="10" t="s">
        <v>666</v>
      </c>
      <c r="D68" s="10" t="str">
        <f>"0,4975"</f>
        <v>0,4975</v>
      </c>
      <c r="E68" s="10" t="s">
        <v>501</v>
      </c>
      <c r="F68" s="10" t="s">
        <v>275</v>
      </c>
      <c r="G68" s="11" t="s">
        <v>240</v>
      </c>
      <c r="H68" s="12" t="s">
        <v>209</v>
      </c>
      <c r="I68" s="12" t="s">
        <v>277</v>
      </c>
      <c r="J68" s="12"/>
      <c r="K68" s="10" t="str">
        <f>"195,0"</f>
        <v>195,0</v>
      </c>
      <c r="L68" s="11" t="str">
        <f>"97,0125"</f>
        <v>97,0125</v>
      </c>
      <c r="M68" s="10" t="s">
        <v>78</v>
      </c>
    </row>
    <row r="70" ht="15">
      <c r="E70" s="8" t="s">
        <v>52</v>
      </c>
    </row>
    <row r="71" ht="15">
      <c r="E71" s="8" t="s">
        <v>53</v>
      </c>
    </row>
    <row r="72" ht="15">
      <c r="E72" s="8" t="s">
        <v>54</v>
      </c>
    </row>
    <row r="73" ht="15">
      <c r="E73" s="8" t="s">
        <v>55</v>
      </c>
    </row>
    <row r="74" ht="15">
      <c r="E74" s="8" t="s">
        <v>55</v>
      </c>
    </row>
    <row r="75" ht="15">
      <c r="E75" s="8" t="s">
        <v>56</v>
      </c>
    </row>
    <row r="76" ht="15">
      <c r="E76" s="8"/>
    </row>
    <row r="78" spans="1:2" ht="18">
      <c r="A78" s="9" t="s">
        <v>57</v>
      </c>
      <c r="B78" s="9"/>
    </row>
    <row r="79" spans="1:2" ht="15">
      <c r="A79" s="13" t="s">
        <v>341</v>
      </c>
      <c r="B79" s="13"/>
    </row>
    <row r="80" spans="1:2" ht="14.25">
      <c r="A80" s="15"/>
      <c r="B80" s="16" t="s">
        <v>342</v>
      </c>
    </row>
    <row r="81" spans="1:5" ht="15">
      <c r="A81" s="17" t="s">
        <v>81</v>
      </c>
      <c r="B81" s="17" t="s">
        <v>82</v>
      </c>
      <c r="C81" s="17" t="s">
        <v>83</v>
      </c>
      <c r="D81" s="17" t="s">
        <v>84</v>
      </c>
      <c r="E81" s="17" t="s">
        <v>85</v>
      </c>
    </row>
    <row r="82" spans="1:5" ht="12.75">
      <c r="A82" s="14" t="s">
        <v>522</v>
      </c>
      <c r="B82" s="5" t="s">
        <v>361</v>
      </c>
      <c r="C82" s="5" t="s">
        <v>667</v>
      </c>
      <c r="D82" s="5" t="s">
        <v>114</v>
      </c>
      <c r="E82" s="18" t="s">
        <v>668</v>
      </c>
    </row>
    <row r="84" spans="1:2" ht="14.25">
      <c r="A84" s="15"/>
      <c r="B84" s="16" t="s">
        <v>80</v>
      </c>
    </row>
    <row r="85" spans="1:5" ht="15">
      <c r="A85" s="17" t="s">
        <v>81</v>
      </c>
      <c r="B85" s="17" t="s">
        <v>82</v>
      </c>
      <c r="C85" s="17" t="s">
        <v>83</v>
      </c>
      <c r="D85" s="17" t="s">
        <v>84</v>
      </c>
      <c r="E85" s="17" t="s">
        <v>85</v>
      </c>
    </row>
    <row r="86" spans="1:5" ht="12.75">
      <c r="A86" s="14" t="s">
        <v>160</v>
      </c>
      <c r="B86" s="5" t="s">
        <v>80</v>
      </c>
      <c r="C86" s="5" t="s">
        <v>101</v>
      </c>
      <c r="D86" s="5" t="s">
        <v>101</v>
      </c>
      <c r="E86" s="18" t="s">
        <v>669</v>
      </c>
    </row>
    <row r="87" spans="1:5" ht="12.75">
      <c r="A87" s="14" t="s">
        <v>515</v>
      </c>
      <c r="B87" s="5" t="s">
        <v>80</v>
      </c>
      <c r="C87" s="5" t="s">
        <v>670</v>
      </c>
      <c r="D87" s="5" t="s">
        <v>129</v>
      </c>
      <c r="E87" s="18" t="s">
        <v>671</v>
      </c>
    </row>
    <row r="88" spans="1:5" ht="12.75">
      <c r="A88" s="14" t="s">
        <v>531</v>
      </c>
      <c r="B88" s="5" t="s">
        <v>80</v>
      </c>
      <c r="C88" s="5" t="s">
        <v>150</v>
      </c>
      <c r="D88" s="5" t="s">
        <v>150</v>
      </c>
      <c r="E88" s="18" t="s">
        <v>672</v>
      </c>
    </row>
    <row r="89" spans="1:5" ht="12.75">
      <c r="A89" s="14" t="s">
        <v>534</v>
      </c>
      <c r="B89" s="5" t="s">
        <v>80</v>
      </c>
      <c r="C89" s="5" t="s">
        <v>355</v>
      </c>
      <c r="D89" s="5" t="s">
        <v>130</v>
      </c>
      <c r="E89" s="18" t="s">
        <v>673</v>
      </c>
    </row>
    <row r="90" spans="1:5" ht="12.75">
      <c r="A90" s="14" t="s">
        <v>526</v>
      </c>
      <c r="B90" s="5" t="s">
        <v>80</v>
      </c>
      <c r="C90" s="5" t="s">
        <v>667</v>
      </c>
      <c r="D90" s="5" t="s">
        <v>128</v>
      </c>
      <c r="E90" s="18" t="s">
        <v>674</v>
      </c>
    </row>
    <row r="92" spans="1:2" ht="14.25">
      <c r="A92" s="15"/>
      <c r="B92" s="16" t="s">
        <v>404</v>
      </c>
    </row>
    <row r="93" spans="1:5" ht="15">
      <c r="A93" s="17" t="s">
        <v>81</v>
      </c>
      <c r="B93" s="17" t="s">
        <v>82</v>
      </c>
      <c r="C93" s="17" t="s">
        <v>83</v>
      </c>
      <c r="D93" s="17" t="s">
        <v>84</v>
      </c>
      <c r="E93" s="17" t="s">
        <v>85</v>
      </c>
    </row>
    <row r="94" spans="1:5" ht="12.75">
      <c r="A94" s="14" t="s">
        <v>540</v>
      </c>
      <c r="B94" s="5" t="s">
        <v>675</v>
      </c>
      <c r="C94" s="5" t="s">
        <v>355</v>
      </c>
      <c r="D94" s="5" t="s">
        <v>150</v>
      </c>
      <c r="E94" s="18" t="s">
        <v>676</v>
      </c>
    </row>
    <row r="97" spans="1:2" ht="15">
      <c r="A97" s="13" t="s">
        <v>79</v>
      </c>
      <c r="B97" s="13"/>
    </row>
    <row r="98" spans="1:2" ht="14.25">
      <c r="A98" s="15"/>
      <c r="B98" s="16" t="s">
        <v>360</v>
      </c>
    </row>
    <row r="99" spans="1:5" ht="15">
      <c r="A99" s="17" t="s">
        <v>81</v>
      </c>
      <c r="B99" s="17" t="s">
        <v>82</v>
      </c>
      <c r="C99" s="17" t="s">
        <v>83</v>
      </c>
      <c r="D99" s="17" t="s">
        <v>84</v>
      </c>
      <c r="E99" s="17" t="s">
        <v>85</v>
      </c>
    </row>
    <row r="100" spans="1:5" ht="12.75">
      <c r="A100" s="14" t="s">
        <v>560</v>
      </c>
      <c r="B100" s="5" t="s">
        <v>364</v>
      </c>
      <c r="C100" s="5" t="s">
        <v>101</v>
      </c>
      <c r="D100" s="5" t="s">
        <v>230</v>
      </c>
      <c r="E100" s="18" t="s">
        <v>677</v>
      </c>
    </row>
    <row r="101" spans="1:5" ht="12.75">
      <c r="A101" s="14" t="s">
        <v>271</v>
      </c>
      <c r="B101" s="5" t="s">
        <v>364</v>
      </c>
      <c r="C101" s="5" t="s">
        <v>133</v>
      </c>
      <c r="D101" s="5" t="s">
        <v>246</v>
      </c>
      <c r="E101" s="18" t="s">
        <v>678</v>
      </c>
    </row>
    <row r="102" spans="1:5" ht="12.75">
      <c r="A102" s="14" t="s">
        <v>486</v>
      </c>
      <c r="B102" s="5" t="s">
        <v>367</v>
      </c>
      <c r="C102" s="5" t="s">
        <v>105</v>
      </c>
      <c r="D102" s="5" t="s">
        <v>170</v>
      </c>
      <c r="E102" s="18" t="s">
        <v>679</v>
      </c>
    </row>
    <row r="103" spans="1:5" ht="12.75">
      <c r="A103" s="14" t="s">
        <v>573</v>
      </c>
      <c r="B103" s="5" t="s">
        <v>367</v>
      </c>
      <c r="C103" s="5" t="s">
        <v>105</v>
      </c>
      <c r="D103" s="5" t="s">
        <v>151</v>
      </c>
      <c r="E103" s="18" t="s">
        <v>680</v>
      </c>
    </row>
    <row r="104" spans="1:5" ht="12.75">
      <c r="A104" s="14" t="s">
        <v>554</v>
      </c>
      <c r="B104" s="5" t="s">
        <v>361</v>
      </c>
      <c r="C104" s="5" t="s">
        <v>101</v>
      </c>
      <c r="D104" s="5" t="s">
        <v>186</v>
      </c>
      <c r="E104" s="18" t="s">
        <v>681</v>
      </c>
    </row>
    <row r="106" spans="1:2" ht="14.25">
      <c r="A106" s="15"/>
      <c r="B106" s="16" t="s">
        <v>372</v>
      </c>
    </row>
    <row r="107" spans="1:5" ht="15">
      <c r="A107" s="17" t="s">
        <v>81</v>
      </c>
      <c r="B107" s="17" t="s">
        <v>82</v>
      </c>
      <c r="C107" s="17" t="s">
        <v>83</v>
      </c>
      <c r="D107" s="17" t="s">
        <v>84</v>
      </c>
      <c r="E107" s="17" t="s">
        <v>85</v>
      </c>
    </row>
    <row r="108" spans="1:5" ht="12.75">
      <c r="A108" s="14" t="s">
        <v>593</v>
      </c>
      <c r="B108" s="5" t="s">
        <v>348</v>
      </c>
      <c r="C108" s="5" t="s">
        <v>131</v>
      </c>
      <c r="D108" s="5" t="s">
        <v>188</v>
      </c>
      <c r="E108" s="18" t="s">
        <v>682</v>
      </c>
    </row>
    <row r="110" spans="1:2" ht="14.25">
      <c r="A110" s="15"/>
      <c r="B110" s="16" t="s">
        <v>80</v>
      </c>
    </row>
    <row r="111" spans="1:5" ht="15">
      <c r="A111" s="17" t="s">
        <v>81</v>
      </c>
      <c r="B111" s="17" t="s">
        <v>82</v>
      </c>
      <c r="C111" s="17" t="s">
        <v>83</v>
      </c>
      <c r="D111" s="17" t="s">
        <v>84</v>
      </c>
      <c r="E111" s="17" t="s">
        <v>85</v>
      </c>
    </row>
    <row r="112" spans="1:5" ht="12.75">
      <c r="A112" s="14" t="s">
        <v>597</v>
      </c>
      <c r="B112" s="5" t="s">
        <v>80</v>
      </c>
      <c r="C112" s="5" t="s">
        <v>131</v>
      </c>
      <c r="D112" s="5" t="s">
        <v>220</v>
      </c>
      <c r="E112" s="18" t="s">
        <v>683</v>
      </c>
    </row>
    <row r="113" spans="1:5" ht="12.75">
      <c r="A113" s="14" t="s">
        <v>657</v>
      </c>
      <c r="B113" s="5" t="s">
        <v>80</v>
      </c>
      <c r="C113" s="5" t="s">
        <v>170</v>
      </c>
      <c r="D113" s="5" t="s">
        <v>220</v>
      </c>
      <c r="E113" s="18" t="s">
        <v>684</v>
      </c>
    </row>
    <row r="114" spans="1:5" ht="12.75">
      <c r="A114" s="14" t="s">
        <v>603</v>
      </c>
      <c r="B114" s="5" t="s">
        <v>80</v>
      </c>
      <c r="C114" s="5" t="s">
        <v>131</v>
      </c>
      <c r="D114" s="5" t="s">
        <v>206</v>
      </c>
      <c r="E114" s="18" t="s">
        <v>685</v>
      </c>
    </row>
    <row r="115" spans="1:5" ht="12.75">
      <c r="A115" s="14" t="s">
        <v>199</v>
      </c>
      <c r="B115" s="5" t="s">
        <v>80</v>
      </c>
      <c r="C115" s="5" t="s">
        <v>101</v>
      </c>
      <c r="D115" s="5" t="s">
        <v>208</v>
      </c>
      <c r="E115" s="18" t="s">
        <v>686</v>
      </c>
    </row>
    <row r="116" spans="1:5" ht="12.75">
      <c r="A116" s="14" t="s">
        <v>579</v>
      </c>
      <c r="B116" s="5" t="s">
        <v>80</v>
      </c>
      <c r="C116" s="5" t="s">
        <v>105</v>
      </c>
      <c r="D116" s="5" t="s">
        <v>198</v>
      </c>
      <c r="E116" s="18" t="s">
        <v>687</v>
      </c>
    </row>
    <row r="117" spans="1:5" ht="12.75">
      <c r="A117" s="14" t="s">
        <v>663</v>
      </c>
      <c r="B117" s="5" t="s">
        <v>80</v>
      </c>
      <c r="C117" s="5" t="s">
        <v>688</v>
      </c>
      <c r="D117" s="5" t="s">
        <v>240</v>
      </c>
      <c r="E117" s="18" t="s">
        <v>689</v>
      </c>
    </row>
    <row r="118" spans="1:5" ht="12.75">
      <c r="A118" s="14" t="s">
        <v>614</v>
      </c>
      <c r="B118" s="5" t="s">
        <v>80</v>
      </c>
      <c r="C118" s="5" t="s">
        <v>133</v>
      </c>
      <c r="D118" s="5" t="s">
        <v>188</v>
      </c>
      <c r="E118" s="18" t="s">
        <v>690</v>
      </c>
    </row>
    <row r="119" spans="1:5" ht="12.75">
      <c r="A119" s="14" t="s">
        <v>584</v>
      </c>
      <c r="B119" s="5" t="s">
        <v>80</v>
      </c>
      <c r="C119" s="5" t="s">
        <v>105</v>
      </c>
      <c r="D119" s="5" t="s">
        <v>197</v>
      </c>
      <c r="E119" s="18" t="s">
        <v>691</v>
      </c>
    </row>
    <row r="120" spans="1:5" ht="12.75">
      <c r="A120" s="14" t="s">
        <v>607</v>
      </c>
      <c r="B120" s="5" t="s">
        <v>80</v>
      </c>
      <c r="C120" s="5" t="s">
        <v>131</v>
      </c>
      <c r="D120" s="5" t="s">
        <v>205</v>
      </c>
      <c r="E120" s="18" t="s">
        <v>692</v>
      </c>
    </row>
    <row r="121" spans="1:5" ht="12.75">
      <c r="A121" s="14" t="s">
        <v>619</v>
      </c>
      <c r="B121" s="5" t="s">
        <v>80</v>
      </c>
      <c r="C121" s="5" t="s">
        <v>133</v>
      </c>
      <c r="D121" s="5" t="s">
        <v>206</v>
      </c>
      <c r="E121" s="18" t="s">
        <v>693</v>
      </c>
    </row>
    <row r="122" spans="1:5" ht="12.75">
      <c r="A122" s="14" t="s">
        <v>486</v>
      </c>
      <c r="B122" s="5" t="s">
        <v>80</v>
      </c>
      <c r="C122" s="5" t="s">
        <v>105</v>
      </c>
      <c r="D122" s="5" t="s">
        <v>170</v>
      </c>
      <c r="E122" s="18" t="s">
        <v>694</v>
      </c>
    </row>
    <row r="123" spans="1:5" ht="12.75">
      <c r="A123" s="14" t="s">
        <v>650</v>
      </c>
      <c r="B123" s="5" t="s">
        <v>80</v>
      </c>
      <c r="C123" s="5" t="s">
        <v>268</v>
      </c>
      <c r="D123" s="5" t="s">
        <v>206</v>
      </c>
      <c r="E123" s="18" t="s">
        <v>695</v>
      </c>
    </row>
    <row r="124" spans="1:5" ht="12.75">
      <c r="A124" s="14" t="s">
        <v>628</v>
      </c>
      <c r="B124" s="5" t="s">
        <v>80</v>
      </c>
      <c r="C124" s="5" t="s">
        <v>86</v>
      </c>
      <c r="D124" s="5" t="s">
        <v>269</v>
      </c>
      <c r="E124" s="18" t="s">
        <v>696</v>
      </c>
    </row>
    <row r="125" spans="1:5" ht="12.75">
      <c r="A125" s="14" t="s">
        <v>590</v>
      </c>
      <c r="B125" s="5" t="s">
        <v>80</v>
      </c>
      <c r="C125" s="5" t="s">
        <v>105</v>
      </c>
      <c r="D125" s="5" t="s">
        <v>169</v>
      </c>
      <c r="E125" s="18" t="s">
        <v>697</v>
      </c>
    </row>
    <row r="126" spans="1:5" ht="12.75">
      <c r="A126" s="14" t="s">
        <v>550</v>
      </c>
      <c r="B126" s="5" t="s">
        <v>80</v>
      </c>
      <c r="C126" s="5" t="s">
        <v>355</v>
      </c>
      <c r="D126" s="5" t="s">
        <v>99</v>
      </c>
      <c r="E126" s="18" t="s">
        <v>698</v>
      </c>
    </row>
    <row r="128" spans="1:2" ht="14.25">
      <c r="A128" s="15"/>
      <c r="B128" s="16" t="s">
        <v>404</v>
      </c>
    </row>
    <row r="129" spans="1:5" ht="15">
      <c r="A129" s="17" t="s">
        <v>81</v>
      </c>
      <c r="B129" s="17" t="s">
        <v>82</v>
      </c>
      <c r="C129" s="17" t="s">
        <v>83</v>
      </c>
      <c r="D129" s="17" t="s">
        <v>84</v>
      </c>
      <c r="E129" s="17" t="s">
        <v>85</v>
      </c>
    </row>
    <row r="130" spans="1:5" ht="12.75">
      <c r="A130" s="14" t="s">
        <v>569</v>
      </c>
      <c r="B130" s="5" t="s">
        <v>699</v>
      </c>
      <c r="C130" s="5" t="s">
        <v>101</v>
      </c>
      <c r="D130" s="5" t="s">
        <v>143</v>
      </c>
      <c r="E130" s="18" t="s">
        <v>700</v>
      </c>
    </row>
    <row r="131" spans="1:5" ht="12.75">
      <c r="A131" s="14" t="s">
        <v>645</v>
      </c>
      <c r="B131" s="5" t="s">
        <v>701</v>
      </c>
      <c r="C131" s="5" t="s">
        <v>86</v>
      </c>
      <c r="D131" s="5" t="s">
        <v>345</v>
      </c>
      <c r="E131" s="18" t="s">
        <v>702</v>
      </c>
    </row>
    <row r="132" spans="1:5" ht="12.75">
      <c r="A132" s="14" t="s">
        <v>497</v>
      </c>
      <c r="B132" s="5" t="s">
        <v>675</v>
      </c>
      <c r="C132" s="5" t="s">
        <v>268</v>
      </c>
      <c r="D132" s="5" t="s">
        <v>239</v>
      </c>
      <c r="E132" s="18" t="s">
        <v>703</v>
      </c>
    </row>
    <row r="133" spans="1:5" ht="12.75">
      <c r="A133" s="14" t="s">
        <v>637</v>
      </c>
      <c r="B133" s="5" t="s">
        <v>405</v>
      </c>
      <c r="C133" s="5" t="s">
        <v>86</v>
      </c>
      <c r="D133" s="5" t="s">
        <v>187</v>
      </c>
      <c r="E133" s="18" t="s">
        <v>704</v>
      </c>
    </row>
    <row r="134" spans="1:5" ht="12.75">
      <c r="A134" s="14" t="s">
        <v>641</v>
      </c>
      <c r="B134" s="5" t="s">
        <v>405</v>
      </c>
      <c r="C134" s="5" t="s">
        <v>86</v>
      </c>
      <c r="D134" s="5" t="s">
        <v>246</v>
      </c>
      <c r="E134" s="18" t="s">
        <v>705</v>
      </c>
    </row>
    <row r="135" spans="1:5" ht="12.75">
      <c r="A135" s="14" t="s">
        <v>564</v>
      </c>
      <c r="B135" s="5" t="s">
        <v>675</v>
      </c>
      <c r="C135" s="5" t="s">
        <v>101</v>
      </c>
      <c r="D135" s="5" t="s">
        <v>170</v>
      </c>
      <c r="E135" s="18" t="s">
        <v>706</v>
      </c>
    </row>
    <row r="136" spans="1:5" ht="12.75">
      <c r="A136" s="14" t="s">
        <v>622</v>
      </c>
      <c r="B136" s="5" t="s">
        <v>675</v>
      </c>
      <c r="C136" s="5" t="s">
        <v>133</v>
      </c>
      <c r="D136" s="5" t="s">
        <v>207</v>
      </c>
      <c r="E136" s="18" t="s">
        <v>707</v>
      </c>
    </row>
  </sheetData>
  <sheetProtection/>
  <mergeCells count="25">
    <mergeCell ref="A22:L22"/>
    <mergeCell ref="A26:L26"/>
    <mergeCell ref="A33:L33"/>
    <mergeCell ref="A41:L41"/>
    <mergeCell ref="A67:L67"/>
    <mergeCell ref="A47:L47"/>
    <mergeCell ref="A53:L53"/>
    <mergeCell ref="A60:L60"/>
    <mergeCell ref="A64:L64"/>
    <mergeCell ref="A8:L8"/>
    <mergeCell ref="A12:L12"/>
    <mergeCell ref="A15:L15"/>
    <mergeCell ref="A19:L19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9.25390625" style="5" bestFit="1" customWidth="1"/>
    <col min="5" max="5" width="22.75390625" style="5" bestFit="1" customWidth="1"/>
    <col min="6" max="6" width="17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6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510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159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511</v>
      </c>
      <c r="B6" s="10" t="s">
        <v>512</v>
      </c>
      <c r="C6" s="10" t="s">
        <v>412</v>
      </c>
      <c r="D6" s="10" t="str">
        <f>"0,6789"</f>
        <v>0,6789</v>
      </c>
      <c r="E6" s="10" t="s">
        <v>413</v>
      </c>
      <c r="F6" s="10" t="s">
        <v>414</v>
      </c>
      <c r="G6" s="12" t="s">
        <v>268</v>
      </c>
      <c r="H6" s="12" t="s">
        <v>268</v>
      </c>
      <c r="I6" s="12" t="s">
        <v>268</v>
      </c>
      <c r="J6" s="12"/>
      <c r="K6" s="10" t="str">
        <f>"0.00"</f>
        <v>0.00</v>
      </c>
      <c r="L6" s="11" t="str">
        <f>"0,0000"</f>
        <v>0,0000</v>
      </c>
      <c r="M6" s="10" t="s">
        <v>78</v>
      </c>
    </row>
    <row r="8" ht="15">
      <c r="E8" s="8" t="s">
        <v>52</v>
      </c>
    </row>
    <row r="9" ht="15">
      <c r="E9" s="8" t="s">
        <v>53</v>
      </c>
    </row>
    <row r="10" ht="15">
      <c r="E10" s="8" t="s">
        <v>54</v>
      </c>
    </row>
    <row r="11" ht="15">
      <c r="E11" s="8" t="s">
        <v>55</v>
      </c>
    </row>
    <row r="12" ht="15">
      <c r="E12" s="8" t="s">
        <v>55</v>
      </c>
    </row>
    <row r="13" ht="15">
      <c r="E13" s="8" t="s">
        <v>56</v>
      </c>
    </row>
    <row r="14" ht="15">
      <c r="E14" s="8"/>
    </row>
    <row r="16" spans="1:2" ht="18">
      <c r="A16" s="9" t="s">
        <v>57</v>
      </c>
      <c r="B16" s="9"/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508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33.375" style="5" bestFit="1" customWidth="1"/>
    <col min="7" max="7" width="4.625" style="4" bestFit="1" customWidth="1"/>
    <col min="8" max="8" width="4.625" style="31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 t="s">
        <v>1123</v>
      </c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5" spans="1:10" ht="15">
      <c r="A5" s="53" t="s">
        <v>1124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0" t="s">
        <v>23</v>
      </c>
      <c r="B6" s="10" t="s">
        <v>24</v>
      </c>
      <c r="C6" s="10" t="s">
        <v>25</v>
      </c>
      <c r="D6" s="10" t="str">
        <f>"1,0000"</f>
        <v>1,0000</v>
      </c>
      <c r="E6" s="10" t="s">
        <v>10</v>
      </c>
      <c r="F6" s="10" t="s">
        <v>750</v>
      </c>
      <c r="G6" s="11" t="s">
        <v>101</v>
      </c>
      <c r="H6" s="32" t="s">
        <v>26</v>
      </c>
      <c r="I6" s="10" t="str">
        <f>"3675,0"</f>
        <v>3675,0</v>
      </c>
      <c r="J6" s="11" t="str">
        <f>"37,5383"</f>
        <v>37,5383</v>
      </c>
      <c r="K6" s="10" t="s">
        <v>78</v>
      </c>
    </row>
    <row r="8" ht="15">
      <c r="E8" s="8" t="s">
        <v>52</v>
      </c>
    </row>
    <row r="9" ht="15">
      <c r="E9" s="8" t="s">
        <v>53</v>
      </c>
    </row>
    <row r="10" ht="15">
      <c r="E10" s="8" t="s">
        <v>54</v>
      </c>
    </row>
    <row r="11" ht="15">
      <c r="E11" s="8" t="s">
        <v>55</v>
      </c>
    </row>
    <row r="12" ht="15">
      <c r="E12" s="8" t="s">
        <v>55</v>
      </c>
    </row>
    <row r="13" ht="15">
      <c r="E13" s="8" t="s">
        <v>56</v>
      </c>
    </row>
    <row r="14" ht="15">
      <c r="E14" s="8"/>
    </row>
    <row r="16" spans="1:2" ht="18">
      <c r="A16" s="9" t="s">
        <v>57</v>
      </c>
      <c r="B16" s="9"/>
    </row>
    <row r="17" spans="1:2" ht="15">
      <c r="A17" s="13" t="s">
        <v>79</v>
      </c>
      <c r="B17" s="13"/>
    </row>
    <row r="18" spans="1:2" ht="14.25">
      <c r="A18" s="15"/>
      <c r="B18" s="16" t="s">
        <v>80</v>
      </c>
    </row>
    <row r="19" spans="1:5" ht="15">
      <c r="A19" s="17" t="s">
        <v>81</v>
      </c>
      <c r="B19" s="17" t="s">
        <v>82</v>
      </c>
      <c r="C19" s="17" t="s">
        <v>83</v>
      </c>
      <c r="D19" s="17" t="s">
        <v>84</v>
      </c>
      <c r="E19" s="17" t="s">
        <v>1135</v>
      </c>
    </row>
    <row r="20" spans="1:5" ht="12.75">
      <c r="A20" s="14" t="s">
        <v>22</v>
      </c>
      <c r="B20" s="5" t="s">
        <v>80</v>
      </c>
      <c r="C20" s="5" t="s">
        <v>1136</v>
      </c>
      <c r="D20" s="5" t="s">
        <v>27</v>
      </c>
      <c r="E20" s="18" t="s">
        <v>28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507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1" width="7.875" style="5" bestFit="1" customWidth="1"/>
    <col min="12" max="12" width="6.37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506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40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7.7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0.25390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52" t="s">
        <v>485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61</v>
      </c>
      <c r="H3" s="37"/>
      <c r="I3" s="37"/>
      <c r="J3" s="37"/>
      <c r="K3" s="37" t="s">
        <v>505</v>
      </c>
      <c r="L3" s="37" t="s">
        <v>44</v>
      </c>
      <c r="M3" s="40" t="s">
        <v>43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51"/>
      <c r="L4" s="51"/>
      <c r="M4" s="41"/>
    </row>
    <row r="5" spans="1:12" ht="15">
      <c r="A5" s="53" t="s">
        <v>214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487</v>
      </c>
      <c r="B6" s="10" t="s">
        <v>488</v>
      </c>
      <c r="C6" s="10" t="s">
        <v>489</v>
      </c>
      <c r="D6" s="10" t="str">
        <f>"0,6486"</f>
        <v>0,6486</v>
      </c>
      <c r="E6" s="10" t="s">
        <v>124</v>
      </c>
      <c r="F6" s="10" t="s">
        <v>490</v>
      </c>
      <c r="G6" s="11" t="s">
        <v>268</v>
      </c>
      <c r="H6" s="11" t="s">
        <v>169</v>
      </c>
      <c r="I6" s="11" t="s">
        <v>185</v>
      </c>
      <c r="J6" s="12"/>
      <c r="K6" s="10" t="str">
        <f>"135,0"</f>
        <v>135,0</v>
      </c>
      <c r="L6" s="11" t="str">
        <f>"91,0634"</f>
        <v>91,0634</v>
      </c>
      <c r="M6" s="10" t="s">
        <v>78</v>
      </c>
    </row>
    <row r="8" spans="1:12" ht="15">
      <c r="A8" s="55" t="s">
        <v>247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2.75">
      <c r="A9" s="10" t="s">
        <v>491</v>
      </c>
      <c r="B9" s="10" t="s">
        <v>492</v>
      </c>
      <c r="C9" s="10" t="s">
        <v>493</v>
      </c>
      <c r="D9" s="10" t="str">
        <f>"0,5905"</f>
        <v>0,5905</v>
      </c>
      <c r="E9" s="10" t="s">
        <v>494</v>
      </c>
      <c r="F9" s="10" t="s">
        <v>495</v>
      </c>
      <c r="G9" s="12" t="s">
        <v>496</v>
      </c>
      <c r="H9" s="12" t="s">
        <v>207</v>
      </c>
      <c r="I9" s="12" t="s">
        <v>207</v>
      </c>
      <c r="J9" s="12"/>
      <c r="K9" s="10" t="str">
        <f>"0.00"</f>
        <v>0.00</v>
      </c>
      <c r="L9" s="11" t="str">
        <f>"0,0000"</f>
        <v>0,0000</v>
      </c>
      <c r="M9" s="10" t="s">
        <v>78</v>
      </c>
    </row>
    <row r="11" spans="1:12" ht="15">
      <c r="A11" s="55" t="s">
        <v>327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ht="12.75">
      <c r="A12" s="10" t="s">
        <v>498</v>
      </c>
      <c r="B12" s="10" t="s">
        <v>499</v>
      </c>
      <c r="C12" s="10" t="s">
        <v>500</v>
      </c>
      <c r="D12" s="10" t="str">
        <f>"0,5260"</f>
        <v>0,5260</v>
      </c>
      <c r="E12" s="10" t="s">
        <v>501</v>
      </c>
      <c r="F12" s="10" t="s">
        <v>275</v>
      </c>
      <c r="G12" s="11" t="s">
        <v>219</v>
      </c>
      <c r="H12" s="11" t="s">
        <v>502</v>
      </c>
      <c r="I12" s="12"/>
      <c r="J12" s="12"/>
      <c r="K12" s="10" t="str">
        <f>"187,5"</f>
        <v>187,5</v>
      </c>
      <c r="L12" s="11" t="str">
        <f>"98,6250"</f>
        <v>98,6250</v>
      </c>
      <c r="M12" s="10" t="s">
        <v>78</v>
      </c>
    </row>
    <row r="14" ht="15">
      <c r="E14" s="8" t="s">
        <v>52</v>
      </c>
    </row>
    <row r="15" ht="15">
      <c r="E15" s="8" t="s">
        <v>53</v>
      </c>
    </row>
    <row r="16" ht="15">
      <c r="E16" s="8" t="s">
        <v>54</v>
      </c>
    </row>
    <row r="17" ht="15">
      <c r="E17" s="8" t="s">
        <v>55</v>
      </c>
    </row>
    <row r="18" ht="15">
      <c r="E18" s="8" t="s">
        <v>55</v>
      </c>
    </row>
    <row r="19" ht="15">
      <c r="E19" s="8" t="s">
        <v>56</v>
      </c>
    </row>
    <row r="20" ht="15">
      <c r="E20" s="8"/>
    </row>
    <row r="22" spans="1:2" ht="18">
      <c r="A22" s="9" t="s">
        <v>57</v>
      </c>
      <c r="B22" s="9"/>
    </row>
    <row r="23" spans="1:2" ht="15">
      <c r="A23" s="13" t="s">
        <v>79</v>
      </c>
      <c r="B23" s="13"/>
    </row>
    <row r="24" spans="1:2" ht="14.25">
      <c r="A24" s="15"/>
      <c r="B24" s="16" t="s">
        <v>360</v>
      </c>
    </row>
    <row r="25" spans="1:5" ht="15">
      <c r="A25" s="17" t="s">
        <v>81</v>
      </c>
      <c r="B25" s="17" t="s">
        <v>82</v>
      </c>
      <c r="C25" s="17" t="s">
        <v>83</v>
      </c>
      <c r="D25" s="17" t="s">
        <v>84</v>
      </c>
      <c r="E25" s="17" t="s">
        <v>85</v>
      </c>
    </row>
    <row r="26" spans="1:5" ht="12.75">
      <c r="A26" s="14" t="s">
        <v>486</v>
      </c>
      <c r="B26" s="5" t="s">
        <v>367</v>
      </c>
      <c r="C26" s="5" t="s">
        <v>105</v>
      </c>
      <c r="D26" s="5" t="s">
        <v>185</v>
      </c>
      <c r="E26" s="18" t="s">
        <v>503</v>
      </c>
    </row>
    <row r="28" spans="1:2" ht="14.25">
      <c r="A28" s="15"/>
      <c r="B28" s="16" t="s">
        <v>80</v>
      </c>
    </row>
    <row r="29" spans="1:5" ht="15">
      <c r="A29" s="17" t="s">
        <v>81</v>
      </c>
      <c r="B29" s="17" t="s">
        <v>82</v>
      </c>
      <c r="C29" s="17" t="s">
        <v>83</v>
      </c>
      <c r="D29" s="17" t="s">
        <v>84</v>
      </c>
      <c r="E29" s="17" t="s">
        <v>85</v>
      </c>
    </row>
    <row r="30" spans="1:5" ht="12.75">
      <c r="A30" s="14" t="s">
        <v>497</v>
      </c>
      <c r="B30" s="5" t="s">
        <v>80</v>
      </c>
      <c r="C30" s="5" t="s">
        <v>268</v>
      </c>
      <c r="D30" s="5" t="s">
        <v>502</v>
      </c>
      <c r="E30" s="18" t="s">
        <v>504</v>
      </c>
    </row>
  </sheetData>
  <sheetProtection/>
  <mergeCells count="14">
    <mergeCell ref="A8:L8"/>
    <mergeCell ref="A11:L11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75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52" t="s">
        <v>463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61</v>
      </c>
      <c r="L3" s="37"/>
      <c r="M3" s="37"/>
      <c r="N3" s="37"/>
      <c r="O3" s="37" t="s">
        <v>62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5" spans="1:20" ht="15">
      <c r="A5" s="53" t="s">
        <v>214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ht="12.75">
      <c r="A6" s="10" t="s">
        <v>465</v>
      </c>
      <c r="B6" s="10" t="s">
        <v>466</v>
      </c>
      <c r="C6" s="10" t="s">
        <v>225</v>
      </c>
      <c r="D6" s="10" t="str">
        <f>"0,6219"</f>
        <v>0,6219</v>
      </c>
      <c r="E6" s="10" t="s">
        <v>124</v>
      </c>
      <c r="F6" s="10" t="s">
        <v>125</v>
      </c>
      <c r="G6" s="11" t="s">
        <v>220</v>
      </c>
      <c r="H6" s="11" t="s">
        <v>221</v>
      </c>
      <c r="I6" s="12" t="s">
        <v>210</v>
      </c>
      <c r="J6" s="12"/>
      <c r="K6" s="11" t="s">
        <v>314</v>
      </c>
      <c r="L6" s="11" t="s">
        <v>293</v>
      </c>
      <c r="M6" s="11" t="s">
        <v>286</v>
      </c>
      <c r="N6" s="12"/>
      <c r="O6" s="11" t="s">
        <v>314</v>
      </c>
      <c r="P6" s="12" t="s">
        <v>252</v>
      </c>
      <c r="Q6" s="12" t="s">
        <v>252</v>
      </c>
      <c r="R6" s="12"/>
      <c r="S6" s="10" t="str">
        <f>"660,0"</f>
        <v>660,0</v>
      </c>
      <c r="T6" s="11" t="str">
        <f>"410,4540"</f>
        <v>410,4540</v>
      </c>
      <c r="U6" s="10" t="s">
        <v>78</v>
      </c>
    </row>
    <row r="8" spans="1:20" ht="15">
      <c r="A8" s="55" t="s">
        <v>63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1" ht="12.75">
      <c r="A9" s="19" t="s">
        <v>468</v>
      </c>
      <c r="B9" s="19" t="s">
        <v>469</v>
      </c>
      <c r="C9" s="19" t="s">
        <v>470</v>
      </c>
      <c r="D9" s="19" t="str">
        <f>"0,5378"</f>
        <v>0,5378</v>
      </c>
      <c r="E9" s="19" t="s">
        <v>124</v>
      </c>
      <c r="F9" s="19" t="s">
        <v>125</v>
      </c>
      <c r="G9" s="20" t="s">
        <v>471</v>
      </c>
      <c r="H9" s="20" t="s">
        <v>472</v>
      </c>
      <c r="I9" s="21"/>
      <c r="J9" s="21"/>
      <c r="K9" s="20" t="s">
        <v>295</v>
      </c>
      <c r="L9" s="20" t="s">
        <v>436</v>
      </c>
      <c r="M9" s="20" t="s">
        <v>473</v>
      </c>
      <c r="N9" s="21"/>
      <c r="O9" s="20" t="s">
        <v>474</v>
      </c>
      <c r="P9" s="21" t="s">
        <v>351</v>
      </c>
      <c r="Q9" s="20" t="s">
        <v>351</v>
      </c>
      <c r="R9" s="21"/>
      <c r="S9" s="19" t="str">
        <f>"1035,0"</f>
        <v>1035,0</v>
      </c>
      <c r="T9" s="20" t="str">
        <f>"556,6230"</f>
        <v>556,6230</v>
      </c>
      <c r="U9" s="19" t="s">
        <v>78</v>
      </c>
    </row>
    <row r="10" spans="1:21" ht="12.75">
      <c r="A10" s="22" t="s">
        <v>476</v>
      </c>
      <c r="B10" s="22" t="s">
        <v>477</v>
      </c>
      <c r="C10" s="22" t="s">
        <v>478</v>
      </c>
      <c r="D10" s="22" t="str">
        <f>"0,5424"</f>
        <v>0,5424</v>
      </c>
      <c r="E10" s="22" t="s">
        <v>124</v>
      </c>
      <c r="F10" s="22" t="s">
        <v>125</v>
      </c>
      <c r="G10" s="24" t="s">
        <v>321</v>
      </c>
      <c r="H10" s="24" t="s">
        <v>294</v>
      </c>
      <c r="I10" s="23" t="s">
        <v>295</v>
      </c>
      <c r="J10" s="23"/>
      <c r="K10" s="24" t="s">
        <v>321</v>
      </c>
      <c r="L10" s="24" t="s">
        <v>322</v>
      </c>
      <c r="M10" s="24" t="s">
        <v>294</v>
      </c>
      <c r="N10" s="23"/>
      <c r="O10" s="24" t="s">
        <v>286</v>
      </c>
      <c r="P10" s="24" t="s">
        <v>322</v>
      </c>
      <c r="Q10" s="23"/>
      <c r="R10" s="23"/>
      <c r="S10" s="22" t="str">
        <f>"770,0"</f>
        <v>770,0</v>
      </c>
      <c r="T10" s="24" t="str">
        <f>"417,6480"</f>
        <v>417,6480</v>
      </c>
      <c r="U10" s="22" t="s">
        <v>78</v>
      </c>
    </row>
    <row r="12" ht="15">
      <c r="E12" s="8" t="s">
        <v>52</v>
      </c>
    </row>
    <row r="13" ht="15">
      <c r="E13" s="8" t="s">
        <v>53</v>
      </c>
    </row>
    <row r="14" ht="15">
      <c r="E14" s="8" t="s">
        <v>54</v>
      </c>
    </row>
    <row r="15" ht="15">
      <c r="E15" s="8" t="s">
        <v>55</v>
      </c>
    </row>
    <row r="16" ht="15">
      <c r="E16" s="8" t="s">
        <v>55</v>
      </c>
    </row>
    <row r="17" ht="15">
      <c r="E17" s="8" t="s">
        <v>56</v>
      </c>
    </row>
    <row r="18" ht="15">
      <c r="E18" s="8"/>
    </row>
    <row r="20" spans="1:2" ht="18">
      <c r="A20" s="9" t="s">
        <v>57</v>
      </c>
      <c r="B20" s="9"/>
    </row>
    <row r="21" spans="1:2" ht="15">
      <c r="A21" s="13" t="s">
        <v>79</v>
      </c>
      <c r="B21" s="13"/>
    </row>
    <row r="22" spans="1:2" ht="14.25">
      <c r="A22" s="15"/>
      <c r="B22" s="16" t="s">
        <v>80</v>
      </c>
    </row>
    <row r="23" spans="1:5" ht="15">
      <c r="A23" s="17" t="s">
        <v>81</v>
      </c>
      <c r="B23" s="17" t="s">
        <v>82</v>
      </c>
      <c r="C23" s="17" t="s">
        <v>83</v>
      </c>
      <c r="D23" s="17" t="s">
        <v>84</v>
      </c>
      <c r="E23" s="17" t="s">
        <v>85</v>
      </c>
    </row>
    <row r="24" spans="1:5" ht="12.75">
      <c r="A24" s="14" t="s">
        <v>467</v>
      </c>
      <c r="B24" s="5" t="s">
        <v>80</v>
      </c>
      <c r="C24" s="5" t="s">
        <v>86</v>
      </c>
      <c r="D24" s="5" t="s">
        <v>479</v>
      </c>
      <c r="E24" s="18" t="s">
        <v>480</v>
      </c>
    </row>
    <row r="25" spans="1:5" ht="12.75">
      <c r="A25" s="14" t="s">
        <v>475</v>
      </c>
      <c r="B25" s="5" t="s">
        <v>80</v>
      </c>
      <c r="C25" s="5" t="s">
        <v>86</v>
      </c>
      <c r="D25" s="5" t="s">
        <v>481</v>
      </c>
      <c r="E25" s="18" t="s">
        <v>482</v>
      </c>
    </row>
    <row r="26" spans="1:5" ht="12.75">
      <c r="A26" s="14" t="s">
        <v>464</v>
      </c>
      <c r="B26" s="5" t="s">
        <v>80</v>
      </c>
      <c r="C26" s="5" t="s">
        <v>105</v>
      </c>
      <c r="D26" s="5" t="s">
        <v>483</v>
      </c>
      <c r="E26" s="18" t="s">
        <v>484</v>
      </c>
    </row>
  </sheetData>
  <sheetProtection/>
  <mergeCells count="15">
    <mergeCell ref="A1:U2"/>
    <mergeCell ref="A3:A4"/>
    <mergeCell ref="B3:B4"/>
    <mergeCell ref="C3:C4"/>
    <mergeCell ref="D3:D4"/>
    <mergeCell ref="A8:T8"/>
    <mergeCell ref="S3:S4"/>
    <mergeCell ref="T3:T4"/>
    <mergeCell ref="U3:U4"/>
    <mergeCell ref="A5:T5"/>
    <mergeCell ref="E3:E4"/>
    <mergeCell ref="F3:F4"/>
    <mergeCell ref="G3:J3"/>
    <mergeCell ref="K3:N3"/>
    <mergeCell ref="O3:R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75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52" t="s">
        <v>448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61</v>
      </c>
      <c r="L3" s="37"/>
      <c r="M3" s="37"/>
      <c r="N3" s="37"/>
      <c r="O3" s="37" t="s">
        <v>62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5" spans="1:20" ht="15">
      <c r="A5" s="53" t="s">
        <v>144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ht="12.75">
      <c r="A6" s="10" t="s">
        <v>450</v>
      </c>
      <c r="B6" s="10" t="s">
        <v>451</v>
      </c>
      <c r="C6" s="10" t="s">
        <v>452</v>
      </c>
      <c r="D6" s="10" t="str">
        <f>"0,7803"</f>
        <v>0,7803</v>
      </c>
      <c r="E6" s="10" t="s">
        <v>124</v>
      </c>
      <c r="F6" s="10" t="s">
        <v>125</v>
      </c>
      <c r="G6" s="11" t="s">
        <v>133</v>
      </c>
      <c r="H6" s="12" t="s">
        <v>151</v>
      </c>
      <c r="I6" s="12" t="s">
        <v>151</v>
      </c>
      <c r="J6" s="12"/>
      <c r="K6" s="11" t="s">
        <v>150</v>
      </c>
      <c r="L6" s="11" t="s">
        <v>118</v>
      </c>
      <c r="M6" s="11" t="s">
        <v>99</v>
      </c>
      <c r="N6" s="12"/>
      <c r="O6" s="11" t="s">
        <v>133</v>
      </c>
      <c r="P6" s="11" t="s">
        <v>151</v>
      </c>
      <c r="Q6" s="12" t="s">
        <v>166</v>
      </c>
      <c r="R6" s="12"/>
      <c r="S6" s="10" t="str">
        <f>"272,5"</f>
        <v>272,5</v>
      </c>
      <c r="T6" s="11" t="str">
        <f>"212,6181"</f>
        <v>212,6181</v>
      </c>
      <c r="U6" s="10" t="s">
        <v>78</v>
      </c>
    </row>
    <row r="8" spans="1:20" ht="15">
      <c r="A8" s="55" t="s">
        <v>270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1" ht="12.75">
      <c r="A9" s="19" t="s">
        <v>454</v>
      </c>
      <c r="B9" s="19" t="s">
        <v>455</v>
      </c>
      <c r="C9" s="19" t="s">
        <v>456</v>
      </c>
      <c r="D9" s="19" t="str">
        <f>"0,5730"</f>
        <v>0,5730</v>
      </c>
      <c r="E9" s="19" t="s">
        <v>124</v>
      </c>
      <c r="F9" s="19" t="s">
        <v>125</v>
      </c>
      <c r="G9" s="20" t="s">
        <v>197</v>
      </c>
      <c r="H9" s="21" t="s">
        <v>276</v>
      </c>
      <c r="I9" s="20" t="s">
        <v>276</v>
      </c>
      <c r="J9" s="21"/>
      <c r="K9" s="20" t="s">
        <v>197</v>
      </c>
      <c r="L9" s="21" t="s">
        <v>206</v>
      </c>
      <c r="M9" s="21" t="s">
        <v>206</v>
      </c>
      <c r="N9" s="21"/>
      <c r="O9" s="20" t="s">
        <v>197</v>
      </c>
      <c r="P9" s="20" t="s">
        <v>206</v>
      </c>
      <c r="Q9" s="20" t="s">
        <v>457</v>
      </c>
      <c r="R9" s="21"/>
      <c r="S9" s="19" t="str">
        <f>"505,0"</f>
        <v>505,0</v>
      </c>
      <c r="T9" s="20" t="str">
        <f>"341,4507"</f>
        <v>341,4507</v>
      </c>
      <c r="U9" s="19" t="s">
        <v>78</v>
      </c>
    </row>
    <row r="10" spans="1:21" ht="12.75">
      <c r="A10" s="22" t="s">
        <v>454</v>
      </c>
      <c r="B10" s="22" t="s">
        <v>458</v>
      </c>
      <c r="C10" s="22" t="s">
        <v>456</v>
      </c>
      <c r="D10" s="22" t="str">
        <f>"0,5730"</f>
        <v>0,5730</v>
      </c>
      <c r="E10" s="22" t="s">
        <v>124</v>
      </c>
      <c r="F10" s="22" t="s">
        <v>125</v>
      </c>
      <c r="G10" s="24" t="s">
        <v>197</v>
      </c>
      <c r="H10" s="23" t="s">
        <v>276</v>
      </c>
      <c r="I10" s="24" t="s">
        <v>276</v>
      </c>
      <c r="J10" s="23"/>
      <c r="K10" s="24" t="s">
        <v>197</v>
      </c>
      <c r="L10" s="23" t="s">
        <v>206</v>
      </c>
      <c r="M10" s="23" t="s">
        <v>206</v>
      </c>
      <c r="N10" s="23"/>
      <c r="O10" s="24" t="s">
        <v>197</v>
      </c>
      <c r="P10" s="24" t="s">
        <v>206</v>
      </c>
      <c r="Q10" s="24" t="s">
        <v>457</v>
      </c>
      <c r="R10" s="23"/>
      <c r="S10" s="22" t="str">
        <f>"505,0"</f>
        <v>505,0</v>
      </c>
      <c r="T10" s="24" t="str">
        <f>"289,3650"</f>
        <v>289,3650</v>
      </c>
      <c r="U10" s="22" t="s">
        <v>78</v>
      </c>
    </row>
    <row r="12" ht="15">
      <c r="E12" s="8" t="s">
        <v>52</v>
      </c>
    </row>
    <row r="13" ht="15">
      <c r="E13" s="8" t="s">
        <v>53</v>
      </c>
    </row>
    <row r="14" ht="15">
      <c r="E14" s="8" t="s">
        <v>54</v>
      </c>
    </row>
    <row r="15" ht="15">
      <c r="E15" s="8" t="s">
        <v>55</v>
      </c>
    </row>
    <row r="16" ht="15">
      <c r="E16" s="8" t="s">
        <v>55</v>
      </c>
    </row>
    <row r="17" ht="15">
      <c r="E17" s="8" t="s">
        <v>56</v>
      </c>
    </row>
    <row r="18" ht="15">
      <c r="E18" s="8"/>
    </row>
    <row r="20" spans="1:2" ht="18">
      <c r="A20" s="9" t="s">
        <v>57</v>
      </c>
      <c r="B20" s="9"/>
    </row>
    <row r="21" spans="1:2" ht="15">
      <c r="A21" s="13" t="s">
        <v>341</v>
      </c>
      <c r="B21" s="13"/>
    </row>
    <row r="22" spans="1:2" ht="14.25">
      <c r="A22" s="15"/>
      <c r="B22" s="16" t="s">
        <v>80</v>
      </c>
    </row>
    <row r="23" spans="1:5" ht="15">
      <c r="A23" s="17" t="s">
        <v>81</v>
      </c>
      <c r="B23" s="17" t="s">
        <v>82</v>
      </c>
      <c r="C23" s="17" t="s">
        <v>83</v>
      </c>
      <c r="D23" s="17" t="s">
        <v>84</v>
      </c>
      <c r="E23" s="17" t="s">
        <v>85</v>
      </c>
    </row>
    <row r="24" spans="1:5" ht="12.75">
      <c r="A24" s="14" t="s">
        <v>449</v>
      </c>
      <c r="B24" s="5" t="s">
        <v>80</v>
      </c>
      <c r="C24" s="5" t="s">
        <v>355</v>
      </c>
      <c r="D24" s="5" t="s">
        <v>77</v>
      </c>
      <c r="E24" s="18" t="s">
        <v>459</v>
      </c>
    </row>
    <row r="27" spans="1:2" ht="15">
      <c r="A27" s="13" t="s">
        <v>79</v>
      </c>
      <c r="B27" s="13"/>
    </row>
    <row r="28" spans="1:2" ht="14.25">
      <c r="A28" s="15"/>
      <c r="B28" s="16" t="s">
        <v>360</v>
      </c>
    </row>
    <row r="29" spans="1:5" ht="15">
      <c r="A29" s="17" t="s">
        <v>81</v>
      </c>
      <c r="B29" s="17" t="s">
        <v>82</v>
      </c>
      <c r="C29" s="17" t="s">
        <v>83</v>
      </c>
      <c r="D29" s="17" t="s">
        <v>84</v>
      </c>
      <c r="E29" s="17" t="s">
        <v>85</v>
      </c>
    </row>
    <row r="30" spans="1:5" ht="12.75">
      <c r="A30" s="14" t="s">
        <v>453</v>
      </c>
      <c r="B30" s="5" t="s">
        <v>361</v>
      </c>
      <c r="C30" s="5" t="s">
        <v>133</v>
      </c>
      <c r="D30" s="5" t="s">
        <v>460</v>
      </c>
      <c r="E30" s="18" t="s">
        <v>461</v>
      </c>
    </row>
    <row r="32" spans="1:2" ht="14.25">
      <c r="A32" s="15"/>
      <c r="B32" s="16" t="s">
        <v>80</v>
      </c>
    </row>
    <row r="33" spans="1:5" ht="15">
      <c r="A33" s="17" t="s">
        <v>81</v>
      </c>
      <c r="B33" s="17" t="s">
        <v>82</v>
      </c>
      <c r="C33" s="17" t="s">
        <v>83</v>
      </c>
      <c r="D33" s="17" t="s">
        <v>84</v>
      </c>
      <c r="E33" s="17" t="s">
        <v>85</v>
      </c>
    </row>
    <row r="34" spans="1:5" ht="12.75">
      <c r="A34" s="14" t="s">
        <v>453</v>
      </c>
      <c r="B34" s="5" t="s">
        <v>80</v>
      </c>
      <c r="C34" s="5" t="s">
        <v>133</v>
      </c>
      <c r="D34" s="5" t="s">
        <v>460</v>
      </c>
      <c r="E34" s="18" t="s">
        <v>462</v>
      </c>
    </row>
  </sheetData>
  <sheetProtection/>
  <mergeCells count="15">
    <mergeCell ref="A1:U2"/>
    <mergeCell ref="A3:A4"/>
    <mergeCell ref="B3:B4"/>
    <mergeCell ref="C3:C4"/>
    <mergeCell ref="D3:D4"/>
    <mergeCell ref="A8:T8"/>
    <mergeCell ref="S3:S4"/>
    <mergeCell ref="T3:T4"/>
    <mergeCell ref="U3:U4"/>
    <mergeCell ref="A5:T5"/>
    <mergeCell ref="E3:E4"/>
    <mergeCell ref="F3:F4"/>
    <mergeCell ref="G3:J3"/>
    <mergeCell ref="K3:N3"/>
    <mergeCell ref="O3:R3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7.75390625" style="5" bestFit="1" customWidth="1"/>
    <col min="3" max="3" width="10.625" style="5" bestFit="1" customWidth="1"/>
    <col min="4" max="4" width="9.25390625" style="5" bestFit="1" customWidth="1"/>
    <col min="5" max="5" width="24.625" style="5" bestFit="1" customWidth="1"/>
    <col min="6" max="6" width="29.753906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5.75390625" style="5" bestFit="1" customWidth="1"/>
    <col min="22" max="16384" width="9.125" style="4" customWidth="1"/>
  </cols>
  <sheetData>
    <row r="1" spans="1:21" s="3" customFormat="1" ht="28.5" customHeight="1">
      <c r="A1" s="52" t="s">
        <v>408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61</v>
      </c>
      <c r="L3" s="37"/>
      <c r="M3" s="37"/>
      <c r="N3" s="37"/>
      <c r="O3" s="37" t="s">
        <v>62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5" spans="1:20" ht="15">
      <c r="A5" s="53" t="s">
        <v>159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ht="12.75">
      <c r="A6" s="10" t="s">
        <v>410</v>
      </c>
      <c r="B6" s="10" t="s">
        <v>411</v>
      </c>
      <c r="C6" s="10" t="s">
        <v>412</v>
      </c>
      <c r="D6" s="10" t="str">
        <f>"0,7362"</f>
        <v>0,7362</v>
      </c>
      <c r="E6" s="10" t="s">
        <v>413</v>
      </c>
      <c r="F6" s="10" t="s">
        <v>414</v>
      </c>
      <c r="G6" s="11" t="s">
        <v>100</v>
      </c>
      <c r="H6" s="11" t="s">
        <v>186</v>
      </c>
      <c r="I6" s="12"/>
      <c r="J6" s="12"/>
      <c r="K6" s="11" t="s">
        <v>128</v>
      </c>
      <c r="L6" s="12" t="s">
        <v>130</v>
      </c>
      <c r="M6" s="12" t="s">
        <v>130</v>
      </c>
      <c r="N6" s="12"/>
      <c r="O6" s="11" t="s">
        <v>99</v>
      </c>
      <c r="P6" s="11" t="s">
        <v>101</v>
      </c>
      <c r="Q6" s="11" t="s">
        <v>105</v>
      </c>
      <c r="R6" s="12"/>
      <c r="S6" s="10" t="str">
        <f>"202,5"</f>
        <v>202,5</v>
      </c>
      <c r="T6" s="11" t="str">
        <f>"149,0704"</f>
        <v>149,0704</v>
      </c>
      <c r="U6" s="10" t="s">
        <v>78</v>
      </c>
    </row>
    <row r="8" spans="1:20" ht="15">
      <c r="A8" s="55" t="s">
        <v>159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1" ht="12.75">
      <c r="A9" s="10" t="s">
        <v>416</v>
      </c>
      <c r="B9" s="10" t="s">
        <v>417</v>
      </c>
      <c r="C9" s="10" t="s">
        <v>202</v>
      </c>
      <c r="D9" s="10" t="str">
        <f>"0,6645"</f>
        <v>0,6645</v>
      </c>
      <c r="E9" s="10" t="s">
        <v>413</v>
      </c>
      <c r="F9" s="10" t="s">
        <v>414</v>
      </c>
      <c r="G9" s="11" t="s">
        <v>170</v>
      </c>
      <c r="H9" s="11" t="s">
        <v>208</v>
      </c>
      <c r="I9" s="11" t="s">
        <v>269</v>
      </c>
      <c r="J9" s="12"/>
      <c r="K9" s="11" t="s">
        <v>133</v>
      </c>
      <c r="L9" s="11" t="s">
        <v>151</v>
      </c>
      <c r="M9" s="12" t="s">
        <v>267</v>
      </c>
      <c r="N9" s="12"/>
      <c r="O9" s="11" t="s">
        <v>220</v>
      </c>
      <c r="P9" s="11" t="s">
        <v>418</v>
      </c>
      <c r="Q9" s="12"/>
      <c r="R9" s="12"/>
      <c r="S9" s="10" t="str">
        <f>"467,5"</f>
        <v>467,5</v>
      </c>
      <c r="T9" s="11" t="str">
        <f>"310,6537"</f>
        <v>310,6537</v>
      </c>
      <c r="U9" s="10" t="s">
        <v>419</v>
      </c>
    </row>
    <row r="11" spans="1:20" ht="15">
      <c r="A11" s="55" t="s">
        <v>214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1" ht="12.75">
      <c r="A12" s="10" t="s">
        <v>421</v>
      </c>
      <c r="B12" s="10" t="s">
        <v>422</v>
      </c>
      <c r="C12" s="10" t="s">
        <v>423</v>
      </c>
      <c r="D12" s="10" t="str">
        <f>"0,6268"</f>
        <v>0,6268</v>
      </c>
      <c r="E12" s="10" t="s">
        <v>182</v>
      </c>
      <c r="F12" s="10" t="s">
        <v>183</v>
      </c>
      <c r="G12" s="11" t="s">
        <v>209</v>
      </c>
      <c r="H12" s="11" t="s">
        <v>210</v>
      </c>
      <c r="I12" s="11" t="s">
        <v>293</v>
      </c>
      <c r="J12" s="12"/>
      <c r="K12" s="11" t="s">
        <v>169</v>
      </c>
      <c r="L12" s="11" t="s">
        <v>171</v>
      </c>
      <c r="M12" s="11" t="s">
        <v>269</v>
      </c>
      <c r="N12" s="12"/>
      <c r="O12" s="11" t="s">
        <v>321</v>
      </c>
      <c r="P12" s="12" t="s">
        <v>294</v>
      </c>
      <c r="Q12" s="12" t="s">
        <v>294</v>
      </c>
      <c r="R12" s="12"/>
      <c r="S12" s="10" t="str">
        <f>"617,5"</f>
        <v>617,5</v>
      </c>
      <c r="T12" s="11" t="str">
        <f>"402,5310"</f>
        <v>402,5310</v>
      </c>
      <c r="U12" s="10" t="s">
        <v>424</v>
      </c>
    </row>
    <row r="14" spans="1:20" ht="15">
      <c r="A14" s="55" t="s">
        <v>270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1" ht="12.75">
      <c r="A15" s="10" t="s">
        <v>426</v>
      </c>
      <c r="B15" s="10" t="s">
        <v>427</v>
      </c>
      <c r="C15" s="10" t="s">
        <v>428</v>
      </c>
      <c r="D15" s="10" t="str">
        <f>"0,5633"</f>
        <v>0,5633</v>
      </c>
      <c r="E15" s="10" t="s">
        <v>124</v>
      </c>
      <c r="F15" s="10" t="s">
        <v>125</v>
      </c>
      <c r="G15" s="11" t="s">
        <v>220</v>
      </c>
      <c r="H15" s="11" t="s">
        <v>314</v>
      </c>
      <c r="I15" s="11" t="s">
        <v>429</v>
      </c>
      <c r="J15" s="12"/>
      <c r="K15" s="11" t="s">
        <v>185</v>
      </c>
      <c r="L15" s="11" t="s">
        <v>207</v>
      </c>
      <c r="M15" s="11" t="s">
        <v>171</v>
      </c>
      <c r="N15" s="12"/>
      <c r="O15" s="11" t="s">
        <v>252</v>
      </c>
      <c r="P15" s="11" t="s">
        <v>430</v>
      </c>
      <c r="Q15" s="11" t="s">
        <v>254</v>
      </c>
      <c r="R15" s="12"/>
      <c r="S15" s="10" t="str">
        <f>"622,5"</f>
        <v>622,5</v>
      </c>
      <c r="T15" s="11" t="str">
        <f>"350,6543"</f>
        <v>350,6543</v>
      </c>
      <c r="U15" s="10" t="s">
        <v>78</v>
      </c>
    </row>
    <row r="17" spans="1:20" ht="15">
      <c r="A17" s="55" t="s">
        <v>327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1" ht="12.75">
      <c r="A18" s="10" t="s">
        <v>432</v>
      </c>
      <c r="B18" s="10" t="s">
        <v>433</v>
      </c>
      <c r="C18" s="10" t="s">
        <v>434</v>
      </c>
      <c r="D18" s="10" t="str">
        <f>"0,5257"</f>
        <v>0,5257</v>
      </c>
      <c r="E18" s="10" t="s">
        <v>413</v>
      </c>
      <c r="F18" s="10" t="s">
        <v>435</v>
      </c>
      <c r="G18" s="11" t="s">
        <v>436</v>
      </c>
      <c r="H18" s="11" t="s">
        <v>437</v>
      </c>
      <c r="I18" s="12"/>
      <c r="J18" s="12"/>
      <c r="K18" s="11" t="s">
        <v>188</v>
      </c>
      <c r="L18" s="12" t="s">
        <v>307</v>
      </c>
      <c r="M18" s="12" t="s">
        <v>307</v>
      </c>
      <c r="N18" s="12"/>
      <c r="O18" s="11" t="s">
        <v>438</v>
      </c>
      <c r="P18" s="11" t="s">
        <v>436</v>
      </c>
      <c r="Q18" s="12" t="s">
        <v>439</v>
      </c>
      <c r="R18" s="12"/>
      <c r="S18" s="10" t="str">
        <f>"785,0"</f>
        <v>785,0</v>
      </c>
      <c r="T18" s="11" t="str">
        <f>"412,6745"</f>
        <v>412,6745</v>
      </c>
      <c r="U18" s="10" t="s">
        <v>78</v>
      </c>
    </row>
    <row r="20" ht="15">
      <c r="E20" s="8" t="s">
        <v>52</v>
      </c>
    </row>
    <row r="21" ht="15">
      <c r="E21" s="8" t="s">
        <v>53</v>
      </c>
    </row>
    <row r="22" ht="15">
      <c r="E22" s="8" t="s">
        <v>54</v>
      </c>
    </row>
    <row r="23" ht="15">
      <c r="E23" s="8" t="s">
        <v>55</v>
      </c>
    </row>
    <row r="24" ht="15">
      <c r="E24" s="8" t="s">
        <v>55</v>
      </c>
    </row>
    <row r="25" ht="15">
      <c r="E25" s="8" t="s">
        <v>56</v>
      </c>
    </row>
    <row r="26" ht="15">
      <c r="E26" s="8"/>
    </row>
    <row r="28" spans="1:2" ht="18">
      <c r="A28" s="9" t="s">
        <v>57</v>
      </c>
      <c r="B28" s="9"/>
    </row>
    <row r="29" spans="1:2" ht="15">
      <c r="A29" s="13" t="s">
        <v>341</v>
      </c>
      <c r="B29" s="13"/>
    </row>
    <row r="30" spans="1:2" ht="14.25">
      <c r="A30" s="15"/>
      <c r="B30" s="16" t="s">
        <v>80</v>
      </c>
    </row>
    <row r="31" spans="1:5" ht="15">
      <c r="A31" s="17" t="s">
        <v>81</v>
      </c>
      <c r="B31" s="17" t="s">
        <v>82</v>
      </c>
      <c r="C31" s="17" t="s">
        <v>83</v>
      </c>
      <c r="D31" s="17" t="s">
        <v>84</v>
      </c>
      <c r="E31" s="17" t="s">
        <v>85</v>
      </c>
    </row>
    <row r="32" spans="1:5" ht="12.75">
      <c r="A32" s="14" t="s">
        <v>409</v>
      </c>
      <c r="B32" s="5" t="s">
        <v>80</v>
      </c>
      <c r="C32" s="5" t="s">
        <v>101</v>
      </c>
      <c r="D32" s="5" t="s">
        <v>228</v>
      </c>
      <c r="E32" s="18" t="s">
        <v>440</v>
      </c>
    </row>
    <row r="35" spans="1:2" ht="15">
      <c r="A35" s="13" t="s">
        <v>79</v>
      </c>
      <c r="B35" s="13"/>
    </row>
    <row r="36" spans="1:2" ht="14.25">
      <c r="A36" s="15"/>
      <c r="B36" s="16" t="s">
        <v>360</v>
      </c>
    </row>
    <row r="37" spans="1:5" ht="15">
      <c r="A37" s="17" t="s">
        <v>81</v>
      </c>
      <c r="B37" s="17" t="s">
        <v>82</v>
      </c>
      <c r="C37" s="17" t="s">
        <v>83</v>
      </c>
      <c r="D37" s="17" t="s">
        <v>84</v>
      </c>
      <c r="E37" s="17" t="s">
        <v>85</v>
      </c>
    </row>
    <row r="38" spans="1:5" ht="12.75">
      <c r="A38" s="14" t="s">
        <v>420</v>
      </c>
      <c r="B38" s="5" t="s">
        <v>367</v>
      </c>
      <c r="C38" s="5" t="s">
        <v>105</v>
      </c>
      <c r="D38" s="5" t="s">
        <v>383</v>
      </c>
      <c r="E38" s="18" t="s">
        <v>441</v>
      </c>
    </row>
    <row r="40" spans="1:2" ht="14.25">
      <c r="A40" s="15"/>
      <c r="B40" s="16" t="s">
        <v>80</v>
      </c>
    </row>
    <row r="41" spans="1:5" ht="15">
      <c r="A41" s="17" t="s">
        <v>81</v>
      </c>
      <c r="B41" s="17" t="s">
        <v>82</v>
      </c>
      <c r="C41" s="17" t="s">
        <v>83</v>
      </c>
      <c r="D41" s="17" t="s">
        <v>84</v>
      </c>
      <c r="E41" s="17" t="s">
        <v>85</v>
      </c>
    </row>
    <row r="42" spans="1:5" ht="12.75">
      <c r="A42" s="14" t="s">
        <v>431</v>
      </c>
      <c r="B42" s="5" t="s">
        <v>80</v>
      </c>
      <c r="C42" s="5" t="s">
        <v>268</v>
      </c>
      <c r="D42" s="5" t="s">
        <v>442</v>
      </c>
      <c r="E42" s="18" t="s">
        <v>443</v>
      </c>
    </row>
    <row r="43" spans="1:5" ht="12.75">
      <c r="A43" s="14" t="s">
        <v>425</v>
      </c>
      <c r="B43" s="5" t="s">
        <v>80</v>
      </c>
      <c r="C43" s="5" t="s">
        <v>133</v>
      </c>
      <c r="D43" s="5" t="s">
        <v>444</v>
      </c>
      <c r="E43" s="18" t="s">
        <v>445</v>
      </c>
    </row>
    <row r="44" spans="1:5" ht="12.75">
      <c r="A44" s="14" t="s">
        <v>415</v>
      </c>
      <c r="B44" s="5" t="s">
        <v>80</v>
      </c>
      <c r="C44" s="5" t="s">
        <v>101</v>
      </c>
      <c r="D44" s="5" t="s">
        <v>446</v>
      </c>
      <c r="E44" s="18" t="s">
        <v>447</v>
      </c>
    </row>
  </sheetData>
  <sheetProtection/>
  <mergeCells count="18">
    <mergeCell ref="A8:T8"/>
    <mergeCell ref="A11:T11"/>
    <mergeCell ref="A14:T14"/>
    <mergeCell ref="A17:T17"/>
    <mergeCell ref="S3:S4"/>
    <mergeCell ref="T3:T4"/>
    <mergeCell ref="K3:N3"/>
    <mergeCell ref="O3:R3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3">
      <selection activeCell="E19" sqref="E19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9.25390625" style="5" bestFit="1" customWidth="1"/>
    <col min="5" max="5" width="24.625" style="5" bestFit="1" customWidth="1"/>
    <col min="6" max="6" width="38.125" style="5" bestFit="1" customWidth="1"/>
    <col min="7" max="9" width="5.625" style="4" bestFit="1" customWidth="1"/>
    <col min="10" max="10" width="4.875" style="4" bestFit="1" customWidth="1"/>
    <col min="11" max="13" width="5.625" style="4" bestFit="1" customWidth="1"/>
    <col min="14" max="14" width="4.875" style="4" bestFit="1" customWidth="1"/>
    <col min="15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5.875" style="5" bestFit="1" customWidth="1"/>
    <col min="22" max="16384" width="9.125" style="4" customWidth="1"/>
  </cols>
  <sheetData>
    <row r="1" spans="1:21" s="3" customFormat="1" ht="28.5" customHeight="1">
      <c r="A1" s="5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61</v>
      </c>
      <c r="L3" s="37"/>
      <c r="M3" s="37"/>
      <c r="N3" s="37"/>
      <c r="O3" s="37" t="s">
        <v>62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5" spans="1:20" ht="15">
      <c r="A5" s="53" t="s">
        <v>92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ht="12.75">
      <c r="A6" s="10" t="s">
        <v>94</v>
      </c>
      <c r="B6" s="10" t="s">
        <v>95</v>
      </c>
      <c r="C6" s="10" t="s">
        <v>96</v>
      </c>
      <c r="D6" s="10" t="str">
        <f>"1,0450"</f>
        <v>1,0450</v>
      </c>
      <c r="E6" s="10" t="s">
        <v>97</v>
      </c>
      <c r="F6" s="10" t="s">
        <v>98</v>
      </c>
      <c r="G6" s="11" t="s">
        <v>99</v>
      </c>
      <c r="H6" s="11" t="s">
        <v>100</v>
      </c>
      <c r="I6" s="12" t="s">
        <v>101</v>
      </c>
      <c r="J6" s="12"/>
      <c r="K6" s="11" t="s">
        <v>102</v>
      </c>
      <c r="L6" s="11" t="s">
        <v>103</v>
      </c>
      <c r="M6" s="12" t="s">
        <v>104</v>
      </c>
      <c r="N6" s="12"/>
      <c r="O6" s="11" t="s">
        <v>100</v>
      </c>
      <c r="P6" s="11" t="s">
        <v>101</v>
      </c>
      <c r="Q6" s="11" t="s">
        <v>105</v>
      </c>
      <c r="R6" s="12"/>
      <c r="S6" s="10" t="str">
        <f>"182,5"</f>
        <v>182,5</v>
      </c>
      <c r="T6" s="11" t="str">
        <f>"190,7034"</f>
        <v>190,7034</v>
      </c>
      <c r="U6" s="10" t="s">
        <v>106</v>
      </c>
    </row>
    <row r="8" spans="1:20" ht="15">
      <c r="A8" s="55" t="s">
        <v>107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1" ht="12.75">
      <c r="A9" s="19" t="s">
        <v>109</v>
      </c>
      <c r="B9" s="19" t="s">
        <v>110</v>
      </c>
      <c r="C9" s="19" t="s">
        <v>111</v>
      </c>
      <c r="D9" s="19" t="str">
        <f>"0,9896"</f>
        <v>0,9896</v>
      </c>
      <c r="E9" s="19" t="s">
        <v>112</v>
      </c>
      <c r="F9" s="19" t="s">
        <v>113</v>
      </c>
      <c r="G9" s="20" t="s">
        <v>114</v>
      </c>
      <c r="H9" s="20" t="s">
        <v>115</v>
      </c>
      <c r="I9" s="20" t="s">
        <v>116</v>
      </c>
      <c r="J9" s="21"/>
      <c r="K9" s="20" t="s">
        <v>103</v>
      </c>
      <c r="L9" s="21" t="s">
        <v>117</v>
      </c>
      <c r="M9" s="20" t="s">
        <v>104</v>
      </c>
      <c r="N9" s="21"/>
      <c r="O9" s="20" t="s">
        <v>118</v>
      </c>
      <c r="P9" s="20" t="s">
        <v>101</v>
      </c>
      <c r="Q9" s="21"/>
      <c r="R9" s="21"/>
      <c r="S9" s="19" t="str">
        <f>"167,5"</f>
        <v>167,5</v>
      </c>
      <c r="T9" s="20" t="str">
        <f>"203,8823"</f>
        <v>203,8823</v>
      </c>
      <c r="U9" s="19" t="s">
        <v>119</v>
      </c>
    </row>
    <row r="10" spans="1:21" ht="12.75">
      <c r="A10" s="22" t="s">
        <v>121</v>
      </c>
      <c r="B10" s="22" t="s">
        <v>122</v>
      </c>
      <c r="C10" s="22" t="s">
        <v>123</v>
      </c>
      <c r="D10" s="22" t="str">
        <f>"0,9848"</f>
        <v>0,9848</v>
      </c>
      <c r="E10" s="22" t="s">
        <v>124</v>
      </c>
      <c r="F10" s="22" t="s">
        <v>125</v>
      </c>
      <c r="G10" s="23" t="s">
        <v>126</v>
      </c>
      <c r="H10" s="24" t="s">
        <v>126</v>
      </c>
      <c r="I10" s="24" t="s">
        <v>127</v>
      </c>
      <c r="J10" s="23"/>
      <c r="K10" s="24" t="s">
        <v>128</v>
      </c>
      <c r="L10" s="23" t="s">
        <v>129</v>
      </c>
      <c r="M10" s="24" t="s">
        <v>130</v>
      </c>
      <c r="N10" s="23"/>
      <c r="O10" s="24" t="s">
        <v>131</v>
      </c>
      <c r="P10" s="24" t="s">
        <v>132</v>
      </c>
      <c r="Q10" s="24" t="s">
        <v>133</v>
      </c>
      <c r="R10" s="23"/>
      <c r="S10" s="22" t="str">
        <f>"242,5"</f>
        <v>242,5</v>
      </c>
      <c r="T10" s="24" t="str">
        <f>"238,8140"</f>
        <v>238,8140</v>
      </c>
      <c r="U10" s="22" t="s">
        <v>78</v>
      </c>
    </row>
    <row r="12" spans="1:20" ht="15">
      <c r="A12" s="55" t="s">
        <v>134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1" ht="12.75">
      <c r="A13" s="10" t="s">
        <v>136</v>
      </c>
      <c r="B13" s="10" t="s">
        <v>137</v>
      </c>
      <c r="C13" s="10" t="s">
        <v>138</v>
      </c>
      <c r="D13" s="10" t="str">
        <f>"0,8670"</f>
        <v>0,8670</v>
      </c>
      <c r="E13" s="10" t="s">
        <v>139</v>
      </c>
      <c r="F13" s="10" t="s">
        <v>140</v>
      </c>
      <c r="G13" s="11" t="s">
        <v>132</v>
      </c>
      <c r="H13" s="11" t="s">
        <v>133</v>
      </c>
      <c r="I13" s="11" t="s">
        <v>141</v>
      </c>
      <c r="J13" s="12"/>
      <c r="K13" s="11" t="s">
        <v>129</v>
      </c>
      <c r="L13" s="11" t="s">
        <v>130</v>
      </c>
      <c r="M13" s="11" t="s">
        <v>115</v>
      </c>
      <c r="N13" s="12"/>
      <c r="O13" s="11" t="s">
        <v>132</v>
      </c>
      <c r="P13" s="11" t="s">
        <v>142</v>
      </c>
      <c r="Q13" s="11" t="s">
        <v>143</v>
      </c>
      <c r="R13" s="12"/>
      <c r="S13" s="10" t="str">
        <f>"260,0"</f>
        <v>260,0</v>
      </c>
      <c r="T13" s="11" t="str">
        <f>"225,4200"</f>
        <v>225,4200</v>
      </c>
      <c r="U13" s="10" t="s">
        <v>78</v>
      </c>
    </row>
    <row r="15" spans="1:20" ht="15">
      <c r="A15" s="55" t="s">
        <v>144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1" ht="12.75">
      <c r="A16" s="36" t="s">
        <v>146</v>
      </c>
      <c r="B16" s="19" t="s">
        <v>147</v>
      </c>
      <c r="C16" s="19" t="s">
        <v>148</v>
      </c>
      <c r="D16" s="19" t="str">
        <f>"0,7913"</f>
        <v>0,7913</v>
      </c>
      <c r="E16" s="19" t="s">
        <v>149</v>
      </c>
      <c r="F16" s="19" t="s">
        <v>125</v>
      </c>
      <c r="G16" s="20" t="s">
        <v>132</v>
      </c>
      <c r="H16" s="20" t="s">
        <v>143</v>
      </c>
      <c r="I16" s="20" t="s">
        <v>141</v>
      </c>
      <c r="J16" s="21"/>
      <c r="K16" s="21" t="s">
        <v>150</v>
      </c>
      <c r="L16" s="20" t="s">
        <v>150</v>
      </c>
      <c r="M16" s="21" t="s">
        <v>118</v>
      </c>
      <c r="N16" s="21"/>
      <c r="O16" s="20" t="s">
        <v>133</v>
      </c>
      <c r="P16" s="20" t="s">
        <v>151</v>
      </c>
      <c r="Q16" s="20" t="s">
        <v>86</v>
      </c>
      <c r="R16" s="21"/>
      <c r="S16" s="19" t="str">
        <f>"275,0"</f>
        <v>275,0</v>
      </c>
      <c r="T16" s="20" t="str">
        <f>"217,6075"</f>
        <v>217,6075</v>
      </c>
      <c r="U16" s="19" t="s">
        <v>78</v>
      </c>
    </row>
    <row r="17" spans="1:21" ht="12.75">
      <c r="A17" s="25" t="s">
        <v>153</v>
      </c>
      <c r="B17" s="25" t="s">
        <v>154</v>
      </c>
      <c r="C17" s="25" t="s">
        <v>155</v>
      </c>
      <c r="D17" s="25" t="str">
        <f>"0,7923"</f>
        <v>0,7923</v>
      </c>
      <c r="E17" s="25" t="s">
        <v>139</v>
      </c>
      <c r="F17" s="25" t="s">
        <v>156</v>
      </c>
      <c r="G17" s="26" t="s">
        <v>133</v>
      </c>
      <c r="H17" s="27" t="s">
        <v>133</v>
      </c>
      <c r="I17" s="27" t="s">
        <v>141</v>
      </c>
      <c r="J17" s="26"/>
      <c r="K17" s="27" t="s">
        <v>130</v>
      </c>
      <c r="L17" s="27" t="s">
        <v>157</v>
      </c>
      <c r="M17" s="26" t="s">
        <v>116</v>
      </c>
      <c r="N17" s="26"/>
      <c r="O17" s="27" t="s">
        <v>133</v>
      </c>
      <c r="P17" s="27" t="s">
        <v>141</v>
      </c>
      <c r="Q17" s="27" t="s">
        <v>86</v>
      </c>
      <c r="R17" s="26"/>
      <c r="S17" s="25" t="str">
        <f>"270,0"</f>
        <v>270,0</v>
      </c>
      <c r="T17" s="27" t="str">
        <f>"213,9210"</f>
        <v>213,9210</v>
      </c>
      <c r="U17" s="25" t="s">
        <v>78</v>
      </c>
    </row>
    <row r="18" spans="1:21" ht="12.75">
      <c r="A18" s="35" t="s">
        <v>36</v>
      </c>
      <c r="B18" s="22" t="s">
        <v>158</v>
      </c>
      <c r="C18" s="22" t="s">
        <v>155</v>
      </c>
      <c r="D18" s="22" t="str">
        <f>"0,7923"</f>
        <v>0,7923</v>
      </c>
      <c r="E18" s="22" t="s">
        <v>139</v>
      </c>
      <c r="F18" s="22" t="s">
        <v>156</v>
      </c>
      <c r="G18" s="23" t="s">
        <v>133</v>
      </c>
      <c r="H18" s="27" t="s">
        <v>133</v>
      </c>
      <c r="I18" s="27" t="s">
        <v>141</v>
      </c>
      <c r="J18" s="26"/>
      <c r="K18" s="27" t="s">
        <v>130</v>
      </c>
      <c r="L18" s="27" t="s">
        <v>157</v>
      </c>
      <c r="M18" s="26" t="s">
        <v>116</v>
      </c>
      <c r="N18" s="26"/>
      <c r="O18" s="27" t="s">
        <v>133</v>
      </c>
      <c r="P18" s="27" t="s">
        <v>141</v>
      </c>
      <c r="Q18" s="27" t="s">
        <v>86</v>
      </c>
      <c r="R18" s="26"/>
      <c r="S18" s="25" t="str">
        <f>"270,0"</f>
        <v>270,0</v>
      </c>
      <c r="T18" s="27" t="str">
        <f>"213,9210"</f>
        <v>213,9210</v>
      </c>
      <c r="U18" s="22" t="s">
        <v>78</v>
      </c>
    </row>
    <row r="20" spans="1:20" ht="15">
      <c r="A20" s="55" t="s">
        <v>159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1" ht="12.75">
      <c r="A21" s="19" t="s">
        <v>161</v>
      </c>
      <c r="B21" s="19" t="s">
        <v>162</v>
      </c>
      <c r="C21" s="19" t="s">
        <v>163</v>
      </c>
      <c r="D21" s="19" t="str">
        <f>"0,7479"</f>
        <v>0,7479</v>
      </c>
      <c r="E21" s="19" t="s">
        <v>164</v>
      </c>
      <c r="F21" s="19" t="s">
        <v>165</v>
      </c>
      <c r="G21" s="20" t="s">
        <v>86</v>
      </c>
      <c r="H21" s="20" t="s">
        <v>166</v>
      </c>
      <c r="I21" s="21" t="s">
        <v>167</v>
      </c>
      <c r="J21" s="21"/>
      <c r="K21" s="20" t="s">
        <v>100</v>
      </c>
      <c r="L21" s="20" t="s">
        <v>101</v>
      </c>
      <c r="M21" s="21" t="s">
        <v>168</v>
      </c>
      <c r="N21" s="21"/>
      <c r="O21" s="20" t="s">
        <v>169</v>
      </c>
      <c r="P21" s="20" t="s">
        <v>170</v>
      </c>
      <c r="Q21" s="20" t="s">
        <v>171</v>
      </c>
      <c r="R21" s="21"/>
      <c r="S21" s="19" t="str">
        <f>"335,0"</f>
        <v>335,0</v>
      </c>
      <c r="T21" s="20" t="str">
        <f>"250,5298"</f>
        <v>250,5298</v>
      </c>
      <c r="U21" s="19" t="s">
        <v>78</v>
      </c>
    </row>
    <row r="22" spans="1:21" ht="12.75">
      <c r="A22" s="22" t="s">
        <v>173</v>
      </c>
      <c r="B22" s="22" t="s">
        <v>174</v>
      </c>
      <c r="C22" s="22" t="s">
        <v>175</v>
      </c>
      <c r="D22" s="22" t="str">
        <f>"0,7347"</f>
        <v>0,7347</v>
      </c>
      <c r="E22" s="22" t="s">
        <v>139</v>
      </c>
      <c r="F22" s="22" t="s">
        <v>140</v>
      </c>
      <c r="G22" s="24" t="s">
        <v>143</v>
      </c>
      <c r="H22" s="23" t="s">
        <v>86</v>
      </c>
      <c r="I22" s="24" t="s">
        <v>86</v>
      </c>
      <c r="J22" s="23"/>
      <c r="K22" s="24" t="s">
        <v>116</v>
      </c>
      <c r="L22" s="24" t="s">
        <v>150</v>
      </c>
      <c r="M22" s="24" t="s">
        <v>118</v>
      </c>
      <c r="N22" s="23"/>
      <c r="O22" s="24" t="s">
        <v>151</v>
      </c>
      <c r="P22" s="24" t="s">
        <v>167</v>
      </c>
      <c r="Q22" s="24" t="s">
        <v>176</v>
      </c>
      <c r="R22" s="23"/>
      <c r="S22" s="22" t="str">
        <f>"295,0"</f>
        <v>295,0</v>
      </c>
      <c r="T22" s="24" t="str">
        <f>"216,7365"</f>
        <v>216,7365</v>
      </c>
      <c r="U22" s="22" t="s">
        <v>177</v>
      </c>
    </row>
    <row r="24" spans="1:20" ht="15">
      <c r="A24" s="55" t="s">
        <v>134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1" ht="12.75">
      <c r="A25" s="10" t="s">
        <v>179</v>
      </c>
      <c r="B25" s="10" t="s">
        <v>180</v>
      </c>
      <c r="C25" s="10" t="s">
        <v>181</v>
      </c>
      <c r="D25" s="10" t="str">
        <f>"0,8128"</f>
        <v>0,8128</v>
      </c>
      <c r="E25" s="10" t="s">
        <v>182</v>
      </c>
      <c r="F25" s="10" t="s">
        <v>183</v>
      </c>
      <c r="G25" s="11" t="s">
        <v>166</v>
      </c>
      <c r="H25" s="11" t="s">
        <v>184</v>
      </c>
      <c r="I25" s="11" t="s">
        <v>185</v>
      </c>
      <c r="J25" s="12"/>
      <c r="K25" s="11" t="s">
        <v>99</v>
      </c>
      <c r="L25" s="11" t="s">
        <v>101</v>
      </c>
      <c r="M25" s="11" t="s">
        <v>186</v>
      </c>
      <c r="N25" s="12"/>
      <c r="O25" s="11" t="s">
        <v>187</v>
      </c>
      <c r="P25" s="11" t="s">
        <v>188</v>
      </c>
      <c r="Q25" s="11" t="s">
        <v>189</v>
      </c>
      <c r="R25" s="12"/>
      <c r="S25" s="10" t="str">
        <f>"392,5"</f>
        <v>392,5</v>
      </c>
      <c r="T25" s="11" t="str">
        <f>"376,4483"</f>
        <v>376,4483</v>
      </c>
      <c r="U25" s="10" t="s">
        <v>190</v>
      </c>
    </row>
    <row r="27" spans="1:20" ht="15">
      <c r="A27" s="55" t="s">
        <v>159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1" ht="12.75">
      <c r="A28" s="19" t="s">
        <v>192</v>
      </c>
      <c r="B28" s="19" t="s">
        <v>193</v>
      </c>
      <c r="C28" s="19" t="s">
        <v>194</v>
      </c>
      <c r="D28" s="19" t="str">
        <f>"0,6828"</f>
        <v>0,6828</v>
      </c>
      <c r="E28" s="19" t="s">
        <v>195</v>
      </c>
      <c r="F28" s="19" t="s">
        <v>196</v>
      </c>
      <c r="G28" s="20" t="s">
        <v>132</v>
      </c>
      <c r="H28" s="21" t="s">
        <v>133</v>
      </c>
      <c r="I28" s="20" t="s">
        <v>133</v>
      </c>
      <c r="J28" s="21"/>
      <c r="K28" s="20" t="s">
        <v>100</v>
      </c>
      <c r="L28" s="20" t="s">
        <v>168</v>
      </c>
      <c r="M28" s="21" t="s">
        <v>186</v>
      </c>
      <c r="N28" s="21"/>
      <c r="O28" s="20" t="s">
        <v>197</v>
      </c>
      <c r="P28" s="21" t="s">
        <v>198</v>
      </c>
      <c r="Q28" s="20" t="s">
        <v>198</v>
      </c>
      <c r="R28" s="21"/>
      <c r="S28" s="19" t="str">
        <f>"332,5"</f>
        <v>332,5</v>
      </c>
      <c r="T28" s="20" t="str">
        <f>"267,8966"</f>
        <v>267,8966</v>
      </c>
      <c r="U28" s="19" t="s">
        <v>78</v>
      </c>
    </row>
    <row r="29" spans="1:21" ht="12.75">
      <c r="A29" s="25" t="s">
        <v>200</v>
      </c>
      <c r="B29" s="25" t="s">
        <v>201</v>
      </c>
      <c r="C29" s="25" t="s">
        <v>202</v>
      </c>
      <c r="D29" s="25" t="str">
        <f>"0,6645"</f>
        <v>0,6645</v>
      </c>
      <c r="E29" s="25" t="s">
        <v>203</v>
      </c>
      <c r="F29" s="25" t="s">
        <v>204</v>
      </c>
      <c r="G29" s="27" t="s">
        <v>197</v>
      </c>
      <c r="H29" s="27" t="s">
        <v>205</v>
      </c>
      <c r="I29" s="27" t="s">
        <v>206</v>
      </c>
      <c r="J29" s="26"/>
      <c r="K29" s="27" t="s">
        <v>185</v>
      </c>
      <c r="L29" s="27" t="s">
        <v>207</v>
      </c>
      <c r="M29" s="27" t="s">
        <v>208</v>
      </c>
      <c r="N29" s="26"/>
      <c r="O29" s="27" t="s">
        <v>209</v>
      </c>
      <c r="P29" s="27" t="s">
        <v>210</v>
      </c>
      <c r="Q29" s="26"/>
      <c r="R29" s="26"/>
      <c r="S29" s="25" t="str">
        <f>"537,5"</f>
        <v>537,5</v>
      </c>
      <c r="T29" s="27" t="str">
        <f>"357,1687"</f>
        <v>357,1687</v>
      </c>
      <c r="U29" s="25" t="s">
        <v>78</v>
      </c>
    </row>
    <row r="30" spans="1:21" ht="12.75">
      <c r="A30" s="22" t="s">
        <v>212</v>
      </c>
      <c r="B30" s="22" t="s">
        <v>213</v>
      </c>
      <c r="C30" s="22" t="s">
        <v>202</v>
      </c>
      <c r="D30" s="22" t="str">
        <f>"0,6645"</f>
        <v>0,6645</v>
      </c>
      <c r="E30" s="22" t="s">
        <v>139</v>
      </c>
      <c r="F30" s="22" t="s">
        <v>140</v>
      </c>
      <c r="G30" s="24" t="s">
        <v>170</v>
      </c>
      <c r="H30" s="24" t="s">
        <v>197</v>
      </c>
      <c r="I30" s="23" t="s">
        <v>198</v>
      </c>
      <c r="J30" s="23"/>
      <c r="K30" s="24" t="s">
        <v>131</v>
      </c>
      <c r="L30" s="24" t="s">
        <v>142</v>
      </c>
      <c r="M30" s="23" t="s">
        <v>143</v>
      </c>
      <c r="N30" s="23"/>
      <c r="O30" s="24" t="s">
        <v>170</v>
      </c>
      <c r="P30" s="23" t="s">
        <v>197</v>
      </c>
      <c r="Q30" s="23" t="s">
        <v>197</v>
      </c>
      <c r="R30" s="23"/>
      <c r="S30" s="22" t="str">
        <f>"387,5"</f>
        <v>387,5</v>
      </c>
      <c r="T30" s="24" t="str">
        <f>"257,4937"</f>
        <v>257,4937</v>
      </c>
      <c r="U30" s="22" t="s">
        <v>177</v>
      </c>
    </row>
    <row r="32" spans="1:20" ht="15">
      <c r="A32" s="55" t="s">
        <v>214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1" ht="12.75">
      <c r="A33" s="19" t="s">
        <v>216</v>
      </c>
      <c r="B33" s="19" t="s">
        <v>217</v>
      </c>
      <c r="C33" s="19" t="s">
        <v>218</v>
      </c>
      <c r="D33" s="19" t="str">
        <f>"0,6347"</f>
        <v>0,6347</v>
      </c>
      <c r="E33" s="19" t="s">
        <v>97</v>
      </c>
      <c r="F33" s="19" t="s">
        <v>98</v>
      </c>
      <c r="G33" s="21" t="s">
        <v>197</v>
      </c>
      <c r="H33" s="20" t="s">
        <v>206</v>
      </c>
      <c r="I33" s="21" t="s">
        <v>219</v>
      </c>
      <c r="J33" s="21"/>
      <c r="K33" s="20" t="s">
        <v>131</v>
      </c>
      <c r="L33" s="21" t="s">
        <v>133</v>
      </c>
      <c r="M33" s="20" t="s">
        <v>133</v>
      </c>
      <c r="N33" s="21"/>
      <c r="O33" s="20" t="s">
        <v>220</v>
      </c>
      <c r="P33" s="20" t="s">
        <v>221</v>
      </c>
      <c r="Q33" s="21" t="s">
        <v>210</v>
      </c>
      <c r="R33" s="21"/>
      <c r="S33" s="19" t="str">
        <f>"480,0"</f>
        <v>480,0</v>
      </c>
      <c r="T33" s="20" t="str">
        <f>"322,9354"</f>
        <v>322,9354</v>
      </c>
      <c r="U33" s="19" t="s">
        <v>78</v>
      </c>
    </row>
    <row r="34" spans="1:21" ht="12.75">
      <c r="A34" s="25" t="s">
        <v>223</v>
      </c>
      <c r="B34" s="25" t="s">
        <v>224</v>
      </c>
      <c r="C34" s="25" t="s">
        <v>225</v>
      </c>
      <c r="D34" s="25" t="str">
        <f>"0,6219"</f>
        <v>0,6219</v>
      </c>
      <c r="E34" s="25" t="s">
        <v>226</v>
      </c>
      <c r="F34" s="25" t="s">
        <v>227</v>
      </c>
      <c r="G34" s="27" t="s">
        <v>219</v>
      </c>
      <c r="H34" s="26" t="s">
        <v>228</v>
      </c>
      <c r="I34" s="26" t="s">
        <v>228</v>
      </c>
      <c r="J34" s="26"/>
      <c r="K34" s="27" t="s">
        <v>229</v>
      </c>
      <c r="L34" s="27" t="s">
        <v>169</v>
      </c>
      <c r="M34" s="26" t="s">
        <v>230</v>
      </c>
      <c r="N34" s="26"/>
      <c r="O34" s="26" t="s">
        <v>210</v>
      </c>
      <c r="P34" s="27" t="s">
        <v>210</v>
      </c>
      <c r="Q34" s="26" t="s">
        <v>231</v>
      </c>
      <c r="R34" s="26"/>
      <c r="S34" s="25" t="str">
        <f>"530,0"</f>
        <v>530,0</v>
      </c>
      <c r="T34" s="27" t="str">
        <f>"329,6070"</f>
        <v>329,6070</v>
      </c>
      <c r="U34" s="25" t="s">
        <v>232</v>
      </c>
    </row>
    <row r="35" spans="1:21" ht="12.75">
      <c r="A35" s="25" t="s">
        <v>234</v>
      </c>
      <c r="B35" s="25" t="s">
        <v>235</v>
      </c>
      <c r="C35" s="25" t="s">
        <v>236</v>
      </c>
      <c r="D35" s="25" t="str">
        <f>"0,6301"</f>
        <v>0,6301</v>
      </c>
      <c r="E35" s="25" t="s">
        <v>237</v>
      </c>
      <c r="F35" s="25" t="s">
        <v>238</v>
      </c>
      <c r="G35" s="27" t="s">
        <v>197</v>
      </c>
      <c r="H35" s="27" t="s">
        <v>205</v>
      </c>
      <c r="I35" s="26" t="s">
        <v>206</v>
      </c>
      <c r="J35" s="26"/>
      <c r="K35" s="27" t="s">
        <v>169</v>
      </c>
      <c r="L35" s="27" t="s">
        <v>185</v>
      </c>
      <c r="M35" s="26" t="s">
        <v>170</v>
      </c>
      <c r="N35" s="26"/>
      <c r="O35" s="27" t="s">
        <v>219</v>
      </c>
      <c r="P35" s="27" t="s">
        <v>239</v>
      </c>
      <c r="Q35" s="27" t="s">
        <v>240</v>
      </c>
      <c r="R35" s="26"/>
      <c r="S35" s="25" t="str">
        <f>"490,0"</f>
        <v>490,0</v>
      </c>
      <c r="T35" s="27" t="str">
        <f>"308,7490"</f>
        <v>308,7490</v>
      </c>
      <c r="U35" s="25" t="s">
        <v>78</v>
      </c>
    </row>
    <row r="36" spans="1:21" ht="12.75">
      <c r="A36" s="22" t="s">
        <v>242</v>
      </c>
      <c r="B36" s="22" t="s">
        <v>243</v>
      </c>
      <c r="C36" s="22" t="s">
        <v>244</v>
      </c>
      <c r="D36" s="22" t="str">
        <f>"0,6290"</f>
        <v>0,6290</v>
      </c>
      <c r="E36" s="22" t="s">
        <v>245</v>
      </c>
      <c r="F36" s="22" t="s">
        <v>156</v>
      </c>
      <c r="G36" s="24" t="s">
        <v>184</v>
      </c>
      <c r="H36" s="23" t="s">
        <v>230</v>
      </c>
      <c r="I36" s="23" t="s">
        <v>185</v>
      </c>
      <c r="J36" s="23"/>
      <c r="K36" s="24" t="s">
        <v>141</v>
      </c>
      <c r="L36" s="24" t="s">
        <v>86</v>
      </c>
      <c r="M36" s="23" t="s">
        <v>166</v>
      </c>
      <c r="N36" s="23"/>
      <c r="O36" s="23" t="s">
        <v>198</v>
      </c>
      <c r="P36" s="23" t="s">
        <v>246</v>
      </c>
      <c r="Q36" s="24" t="s">
        <v>205</v>
      </c>
      <c r="R36" s="23"/>
      <c r="S36" s="22" t="str">
        <f>"397,5"</f>
        <v>397,5</v>
      </c>
      <c r="T36" s="24" t="str">
        <f>"250,0275"</f>
        <v>250,0275</v>
      </c>
      <c r="U36" s="22" t="s">
        <v>78</v>
      </c>
    </row>
    <row r="38" spans="1:20" ht="15">
      <c r="A38" s="55" t="s">
        <v>247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1" ht="12.75">
      <c r="A39" s="19" t="s">
        <v>249</v>
      </c>
      <c r="B39" s="19" t="s">
        <v>250</v>
      </c>
      <c r="C39" s="19" t="s">
        <v>251</v>
      </c>
      <c r="D39" s="19" t="str">
        <f>"0,5881"</f>
        <v>0,5881</v>
      </c>
      <c r="E39" s="19" t="s">
        <v>97</v>
      </c>
      <c r="F39" s="19" t="s">
        <v>98</v>
      </c>
      <c r="G39" s="20" t="s">
        <v>219</v>
      </c>
      <c r="H39" s="20" t="s">
        <v>239</v>
      </c>
      <c r="I39" s="21" t="s">
        <v>220</v>
      </c>
      <c r="J39" s="21"/>
      <c r="K39" s="20" t="s">
        <v>133</v>
      </c>
      <c r="L39" s="20" t="s">
        <v>166</v>
      </c>
      <c r="M39" s="20" t="s">
        <v>169</v>
      </c>
      <c r="N39" s="21"/>
      <c r="O39" s="20" t="s">
        <v>252</v>
      </c>
      <c r="P39" s="20" t="s">
        <v>253</v>
      </c>
      <c r="Q39" s="21" t="s">
        <v>254</v>
      </c>
      <c r="R39" s="21"/>
      <c r="S39" s="19" t="str">
        <f>"565,0"</f>
        <v>565,0</v>
      </c>
      <c r="T39" s="20" t="str">
        <f>"332,2765"</f>
        <v>332,2765</v>
      </c>
      <c r="U39" s="19" t="s">
        <v>78</v>
      </c>
    </row>
    <row r="40" spans="1:21" ht="12.75">
      <c r="A40" s="25" t="s">
        <v>256</v>
      </c>
      <c r="B40" s="25" t="s">
        <v>257</v>
      </c>
      <c r="C40" s="25" t="s">
        <v>258</v>
      </c>
      <c r="D40" s="25" t="str">
        <f>"0,6132"</f>
        <v>0,6132</v>
      </c>
      <c r="E40" s="25" t="s">
        <v>97</v>
      </c>
      <c r="F40" s="25" t="s">
        <v>98</v>
      </c>
      <c r="G40" s="27" t="s">
        <v>197</v>
      </c>
      <c r="H40" s="26" t="s">
        <v>206</v>
      </c>
      <c r="I40" s="27" t="s">
        <v>188</v>
      </c>
      <c r="J40" s="26"/>
      <c r="K40" s="27" t="s">
        <v>229</v>
      </c>
      <c r="L40" s="27" t="s">
        <v>185</v>
      </c>
      <c r="M40" s="26" t="s">
        <v>171</v>
      </c>
      <c r="N40" s="26"/>
      <c r="O40" s="26" t="s">
        <v>197</v>
      </c>
      <c r="P40" s="27" t="s">
        <v>206</v>
      </c>
      <c r="Q40" s="27" t="s">
        <v>239</v>
      </c>
      <c r="R40" s="26"/>
      <c r="S40" s="25" t="str">
        <f>"500,0"</f>
        <v>500,0</v>
      </c>
      <c r="T40" s="27" t="str">
        <f>"306,6000"</f>
        <v>306,6000</v>
      </c>
      <c r="U40" s="25" t="s">
        <v>106</v>
      </c>
    </row>
    <row r="41" spans="1:21" ht="12.75">
      <c r="A41" s="25" t="s">
        <v>260</v>
      </c>
      <c r="B41" s="25" t="s">
        <v>261</v>
      </c>
      <c r="C41" s="25" t="s">
        <v>262</v>
      </c>
      <c r="D41" s="25" t="str">
        <f>"0,5869"</f>
        <v>0,5869</v>
      </c>
      <c r="E41" s="25" t="s">
        <v>139</v>
      </c>
      <c r="F41" s="25" t="s">
        <v>140</v>
      </c>
      <c r="G41" s="27" t="s">
        <v>185</v>
      </c>
      <c r="H41" s="27" t="s">
        <v>170</v>
      </c>
      <c r="I41" s="26" t="s">
        <v>171</v>
      </c>
      <c r="J41" s="26"/>
      <c r="K41" s="26" t="s">
        <v>127</v>
      </c>
      <c r="L41" s="27" t="s">
        <v>141</v>
      </c>
      <c r="M41" s="27" t="s">
        <v>86</v>
      </c>
      <c r="N41" s="26"/>
      <c r="O41" s="27" t="s">
        <v>170</v>
      </c>
      <c r="P41" s="26" t="s">
        <v>197</v>
      </c>
      <c r="Q41" s="27" t="s">
        <v>205</v>
      </c>
      <c r="R41" s="26"/>
      <c r="S41" s="25" t="str">
        <f>"410,0"</f>
        <v>410,0</v>
      </c>
      <c r="T41" s="27" t="str">
        <f>"240,6290"</f>
        <v>240,6290</v>
      </c>
      <c r="U41" s="25" t="s">
        <v>177</v>
      </c>
    </row>
    <row r="42" spans="1:21" ht="12.75">
      <c r="A42" s="22" t="s">
        <v>264</v>
      </c>
      <c r="B42" s="22" t="s">
        <v>265</v>
      </c>
      <c r="C42" s="22" t="s">
        <v>266</v>
      </c>
      <c r="D42" s="22" t="str">
        <f>"0,6098"</f>
        <v>0,6098</v>
      </c>
      <c r="E42" s="22" t="s">
        <v>112</v>
      </c>
      <c r="F42" s="22" t="s">
        <v>113</v>
      </c>
      <c r="G42" s="24" t="s">
        <v>267</v>
      </c>
      <c r="H42" s="24" t="s">
        <v>167</v>
      </c>
      <c r="I42" s="24" t="s">
        <v>268</v>
      </c>
      <c r="J42" s="23"/>
      <c r="K42" s="24" t="s">
        <v>168</v>
      </c>
      <c r="L42" s="24" t="s">
        <v>126</v>
      </c>
      <c r="M42" s="24" t="s">
        <v>131</v>
      </c>
      <c r="N42" s="23"/>
      <c r="O42" s="24" t="s">
        <v>170</v>
      </c>
      <c r="P42" s="24" t="s">
        <v>269</v>
      </c>
      <c r="Q42" s="24" t="s">
        <v>205</v>
      </c>
      <c r="R42" s="23"/>
      <c r="S42" s="22" t="str">
        <f>"375,0"</f>
        <v>375,0</v>
      </c>
      <c r="T42" s="24" t="str">
        <f>"244,4536"</f>
        <v>244,4536</v>
      </c>
      <c r="U42" s="22" t="s">
        <v>119</v>
      </c>
    </row>
    <row r="44" spans="1:20" ht="15">
      <c r="A44" s="55" t="s">
        <v>270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1" ht="12.75">
      <c r="A45" s="19" t="s">
        <v>272</v>
      </c>
      <c r="B45" s="19" t="s">
        <v>273</v>
      </c>
      <c r="C45" s="19" t="s">
        <v>274</v>
      </c>
      <c r="D45" s="19" t="str">
        <f>"0,5619"</f>
        <v>0,5619</v>
      </c>
      <c r="E45" s="19" t="s">
        <v>124</v>
      </c>
      <c r="F45" s="19" t="s">
        <v>275</v>
      </c>
      <c r="G45" s="20" t="s">
        <v>219</v>
      </c>
      <c r="H45" s="20" t="s">
        <v>239</v>
      </c>
      <c r="I45" s="21" t="s">
        <v>240</v>
      </c>
      <c r="J45" s="21"/>
      <c r="K45" s="20" t="s">
        <v>198</v>
      </c>
      <c r="L45" s="20" t="s">
        <v>246</v>
      </c>
      <c r="M45" s="21" t="s">
        <v>276</v>
      </c>
      <c r="N45" s="21"/>
      <c r="O45" s="20" t="s">
        <v>220</v>
      </c>
      <c r="P45" s="20" t="s">
        <v>277</v>
      </c>
      <c r="Q45" s="20" t="s">
        <v>278</v>
      </c>
      <c r="R45" s="21"/>
      <c r="S45" s="19" t="str">
        <f>"565,0"</f>
        <v>565,0</v>
      </c>
      <c r="T45" s="20" t="str">
        <f>"342,8714"</f>
        <v>342,8714</v>
      </c>
      <c r="U45" s="19" t="s">
        <v>78</v>
      </c>
    </row>
    <row r="46" spans="1:21" ht="12.75">
      <c r="A46" s="25" t="s">
        <v>280</v>
      </c>
      <c r="B46" s="25" t="s">
        <v>281</v>
      </c>
      <c r="C46" s="25" t="s">
        <v>282</v>
      </c>
      <c r="D46" s="25" t="str">
        <f>"0,5691"</f>
        <v>0,5691</v>
      </c>
      <c r="E46" s="25" t="s">
        <v>283</v>
      </c>
      <c r="F46" s="25" t="s">
        <v>284</v>
      </c>
      <c r="G46" s="27" t="s">
        <v>187</v>
      </c>
      <c r="H46" s="27" t="s">
        <v>188</v>
      </c>
      <c r="I46" s="27" t="s">
        <v>285</v>
      </c>
      <c r="J46" s="26"/>
      <c r="K46" s="27" t="s">
        <v>268</v>
      </c>
      <c r="L46" s="27" t="s">
        <v>185</v>
      </c>
      <c r="M46" s="26" t="s">
        <v>207</v>
      </c>
      <c r="N46" s="26"/>
      <c r="O46" s="27" t="s">
        <v>210</v>
      </c>
      <c r="P46" s="27" t="s">
        <v>286</v>
      </c>
      <c r="Q46" s="27" t="s">
        <v>253</v>
      </c>
      <c r="R46" s="26"/>
      <c r="S46" s="25" t="str">
        <f>"562,5"</f>
        <v>562,5</v>
      </c>
      <c r="T46" s="27" t="str">
        <f>"326,5211"</f>
        <v>326,5211</v>
      </c>
      <c r="U46" s="25" t="s">
        <v>287</v>
      </c>
    </row>
    <row r="47" spans="1:21" ht="12.75">
      <c r="A47" s="25" t="s">
        <v>289</v>
      </c>
      <c r="B47" s="25" t="s">
        <v>290</v>
      </c>
      <c r="C47" s="25" t="s">
        <v>291</v>
      </c>
      <c r="D47" s="25" t="str">
        <f>"0,5586"</f>
        <v>0,5586</v>
      </c>
      <c r="E47" s="25" t="s">
        <v>292</v>
      </c>
      <c r="F47" s="25" t="s">
        <v>275</v>
      </c>
      <c r="G47" s="27" t="s">
        <v>221</v>
      </c>
      <c r="H47" s="27" t="s">
        <v>210</v>
      </c>
      <c r="I47" s="27" t="s">
        <v>293</v>
      </c>
      <c r="J47" s="26"/>
      <c r="K47" s="27" t="s">
        <v>170</v>
      </c>
      <c r="L47" s="27" t="s">
        <v>208</v>
      </c>
      <c r="M47" s="27" t="s">
        <v>269</v>
      </c>
      <c r="N47" s="26"/>
      <c r="O47" s="27" t="s">
        <v>294</v>
      </c>
      <c r="P47" s="27" t="s">
        <v>71</v>
      </c>
      <c r="Q47" s="26" t="s">
        <v>295</v>
      </c>
      <c r="R47" s="26"/>
      <c r="S47" s="25" t="str">
        <f>"647,5"</f>
        <v>647,5</v>
      </c>
      <c r="T47" s="27" t="str">
        <f>"361,6935"</f>
        <v>361,6935</v>
      </c>
      <c r="U47" s="25" t="s">
        <v>296</v>
      </c>
    </row>
    <row r="48" spans="1:21" ht="12.75">
      <c r="A48" s="22" t="s">
        <v>298</v>
      </c>
      <c r="B48" s="22" t="s">
        <v>299</v>
      </c>
      <c r="C48" s="22" t="s">
        <v>300</v>
      </c>
      <c r="D48" s="22" t="str">
        <f>"0,5563"</f>
        <v>0,5563</v>
      </c>
      <c r="E48" s="22" t="s">
        <v>301</v>
      </c>
      <c r="F48" s="22" t="s">
        <v>125</v>
      </c>
      <c r="G48" s="24" t="s">
        <v>206</v>
      </c>
      <c r="H48" s="23" t="s">
        <v>219</v>
      </c>
      <c r="I48" s="24" t="s">
        <v>219</v>
      </c>
      <c r="J48" s="23"/>
      <c r="K48" s="24" t="s">
        <v>170</v>
      </c>
      <c r="L48" s="24" t="s">
        <v>197</v>
      </c>
      <c r="M48" s="23" t="s">
        <v>269</v>
      </c>
      <c r="N48" s="23"/>
      <c r="O48" s="23" t="s">
        <v>239</v>
      </c>
      <c r="P48" s="24" t="s">
        <v>239</v>
      </c>
      <c r="Q48" s="24" t="s">
        <v>220</v>
      </c>
      <c r="R48" s="23"/>
      <c r="S48" s="22" t="str">
        <f>"530,0"</f>
        <v>530,0</v>
      </c>
      <c r="T48" s="24" t="str">
        <f>"294,8390"</f>
        <v>294,8390</v>
      </c>
      <c r="U48" s="22" t="s">
        <v>302</v>
      </c>
    </row>
    <row r="50" spans="1:20" ht="15">
      <c r="A50" s="55" t="s">
        <v>63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1" ht="12.75">
      <c r="A51" s="19" t="s">
        <v>304</v>
      </c>
      <c r="B51" s="19" t="s">
        <v>305</v>
      </c>
      <c r="C51" s="19" t="s">
        <v>306</v>
      </c>
      <c r="D51" s="19" t="str">
        <f>"0,5416"</f>
        <v>0,5416</v>
      </c>
      <c r="E51" s="19" t="s">
        <v>112</v>
      </c>
      <c r="F51" s="19" t="s">
        <v>113</v>
      </c>
      <c r="G51" s="20" t="s">
        <v>240</v>
      </c>
      <c r="H51" s="20" t="s">
        <v>209</v>
      </c>
      <c r="I51" s="21"/>
      <c r="J51" s="21"/>
      <c r="K51" s="20" t="s">
        <v>206</v>
      </c>
      <c r="L51" s="20" t="s">
        <v>189</v>
      </c>
      <c r="M51" s="20" t="s">
        <v>307</v>
      </c>
      <c r="N51" s="21"/>
      <c r="O51" s="20" t="s">
        <v>252</v>
      </c>
      <c r="P51" s="20" t="s">
        <v>308</v>
      </c>
      <c r="Q51" s="20" t="s">
        <v>309</v>
      </c>
      <c r="R51" s="21"/>
      <c r="S51" s="19" t="str">
        <f>"642,5"</f>
        <v>642,5</v>
      </c>
      <c r="T51" s="20" t="str">
        <f>"347,9780"</f>
        <v>347,9780</v>
      </c>
      <c r="U51" s="19" t="s">
        <v>78</v>
      </c>
    </row>
    <row r="52" spans="1:21" ht="12.75">
      <c r="A52" s="25" t="s">
        <v>311</v>
      </c>
      <c r="B52" s="25" t="s">
        <v>312</v>
      </c>
      <c r="C52" s="25" t="s">
        <v>313</v>
      </c>
      <c r="D52" s="25" t="str">
        <f>"0,5405"</f>
        <v>0,5405</v>
      </c>
      <c r="E52" s="25" t="s">
        <v>139</v>
      </c>
      <c r="F52" s="25" t="s">
        <v>125</v>
      </c>
      <c r="G52" s="26" t="s">
        <v>220</v>
      </c>
      <c r="H52" s="27" t="s">
        <v>209</v>
      </c>
      <c r="I52" s="27" t="s">
        <v>314</v>
      </c>
      <c r="J52" s="26"/>
      <c r="K52" s="27" t="s">
        <v>187</v>
      </c>
      <c r="L52" s="27" t="s">
        <v>206</v>
      </c>
      <c r="M52" s="27" t="s">
        <v>315</v>
      </c>
      <c r="N52" s="26"/>
      <c r="O52" s="27" t="s">
        <v>314</v>
      </c>
      <c r="P52" s="27" t="s">
        <v>293</v>
      </c>
      <c r="Q52" s="27" t="s">
        <v>252</v>
      </c>
      <c r="R52" s="26"/>
      <c r="S52" s="25" t="str">
        <f>"617,5"</f>
        <v>617,5</v>
      </c>
      <c r="T52" s="27" t="str">
        <f>"333,7587"</f>
        <v>333,7587</v>
      </c>
      <c r="U52" s="25" t="s">
        <v>78</v>
      </c>
    </row>
    <row r="53" spans="1:21" ht="12.75">
      <c r="A53" s="25" t="s">
        <v>317</v>
      </c>
      <c r="B53" s="25" t="s">
        <v>318</v>
      </c>
      <c r="C53" s="25" t="s">
        <v>319</v>
      </c>
      <c r="D53" s="25" t="str">
        <f>"0,5477"</f>
        <v>0,5477</v>
      </c>
      <c r="E53" s="25" t="s">
        <v>320</v>
      </c>
      <c r="F53" s="25" t="s">
        <v>125</v>
      </c>
      <c r="G53" s="27" t="s">
        <v>220</v>
      </c>
      <c r="H53" s="26" t="s">
        <v>209</v>
      </c>
      <c r="I53" s="26" t="s">
        <v>209</v>
      </c>
      <c r="J53" s="26"/>
      <c r="K53" s="27" t="s">
        <v>169</v>
      </c>
      <c r="L53" s="27" t="s">
        <v>185</v>
      </c>
      <c r="M53" s="27" t="s">
        <v>170</v>
      </c>
      <c r="N53" s="26"/>
      <c r="O53" s="27" t="s">
        <v>252</v>
      </c>
      <c r="P53" s="27" t="s">
        <v>321</v>
      </c>
      <c r="Q53" s="27" t="s">
        <v>322</v>
      </c>
      <c r="R53" s="26"/>
      <c r="S53" s="25" t="str">
        <f>"590,0"</f>
        <v>590,0</v>
      </c>
      <c r="T53" s="27" t="str">
        <f>"323,1430"</f>
        <v>323,1430</v>
      </c>
      <c r="U53" s="25" t="s">
        <v>78</v>
      </c>
    </row>
    <row r="54" spans="1:21" ht="12.75">
      <c r="A54" s="22" t="s">
        <v>324</v>
      </c>
      <c r="B54" s="22" t="s">
        <v>325</v>
      </c>
      <c r="C54" s="22" t="s">
        <v>326</v>
      </c>
      <c r="D54" s="22" t="str">
        <f>"0,5375"</f>
        <v>0,5375</v>
      </c>
      <c r="E54" s="22" t="s">
        <v>97</v>
      </c>
      <c r="F54" s="22" t="s">
        <v>98</v>
      </c>
      <c r="G54" s="24" t="s">
        <v>219</v>
      </c>
      <c r="H54" s="23" t="s">
        <v>239</v>
      </c>
      <c r="I54" s="23" t="s">
        <v>240</v>
      </c>
      <c r="J54" s="23"/>
      <c r="K54" s="23" t="s">
        <v>205</v>
      </c>
      <c r="L54" s="24" t="s">
        <v>187</v>
      </c>
      <c r="M54" s="23" t="s">
        <v>315</v>
      </c>
      <c r="N54" s="23"/>
      <c r="O54" s="24" t="s">
        <v>210</v>
      </c>
      <c r="P54" s="24" t="s">
        <v>286</v>
      </c>
      <c r="Q54" s="24" t="s">
        <v>253</v>
      </c>
      <c r="R54" s="23"/>
      <c r="S54" s="22" t="str">
        <f>"590,0"</f>
        <v>590,0</v>
      </c>
      <c r="T54" s="24" t="str">
        <f>"317,1250"</f>
        <v>317,1250</v>
      </c>
      <c r="U54" s="22" t="s">
        <v>106</v>
      </c>
    </row>
    <row r="56" spans="1:20" ht="15">
      <c r="A56" s="55" t="s">
        <v>327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1" ht="12.75">
      <c r="A57" s="19" t="s">
        <v>329</v>
      </c>
      <c r="B57" s="19" t="s">
        <v>330</v>
      </c>
      <c r="C57" s="19" t="s">
        <v>331</v>
      </c>
      <c r="D57" s="19" t="str">
        <f>"0,5237"</f>
        <v>0,5237</v>
      </c>
      <c r="E57" s="19" t="s">
        <v>97</v>
      </c>
      <c r="F57" s="19" t="s">
        <v>98</v>
      </c>
      <c r="G57" s="20" t="s">
        <v>210</v>
      </c>
      <c r="H57" s="20" t="s">
        <v>252</v>
      </c>
      <c r="I57" s="20" t="s">
        <v>332</v>
      </c>
      <c r="J57" s="21"/>
      <c r="K57" s="20" t="s">
        <v>188</v>
      </c>
      <c r="L57" s="20" t="s">
        <v>307</v>
      </c>
      <c r="M57" s="21" t="s">
        <v>240</v>
      </c>
      <c r="N57" s="21"/>
      <c r="O57" s="20" t="s">
        <v>333</v>
      </c>
      <c r="P57" s="20" t="s">
        <v>334</v>
      </c>
      <c r="Q57" s="21" t="s">
        <v>335</v>
      </c>
      <c r="R57" s="21"/>
      <c r="S57" s="19" t="str">
        <f>"702,5"</f>
        <v>702,5</v>
      </c>
      <c r="T57" s="20" t="str">
        <f>"367,8992"</f>
        <v>367,8992</v>
      </c>
      <c r="U57" s="19" t="s">
        <v>78</v>
      </c>
    </row>
    <row r="58" spans="1:21" ht="12.75">
      <c r="A58" s="22" t="s">
        <v>337</v>
      </c>
      <c r="B58" s="22" t="s">
        <v>338</v>
      </c>
      <c r="C58" s="22" t="s">
        <v>339</v>
      </c>
      <c r="D58" s="22" t="str">
        <f>"0,5272"</f>
        <v>0,5272</v>
      </c>
      <c r="E58" s="22" t="s">
        <v>340</v>
      </c>
      <c r="F58" s="22" t="s">
        <v>275</v>
      </c>
      <c r="G58" s="24" t="s">
        <v>188</v>
      </c>
      <c r="H58" s="24" t="s">
        <v>307</v>
      </c>
      <c r="I58" s="24" t="s">
        <v>239</v>
      </c>
      <c r="J58" s="23"/>
      <c r="K58" s="24" t="s">
        <v>267</v>
      </c>
      <c r="L58" s="24" t="s">
        <v>167</v>
      </c>
      <c r="M58" s="23" t="s">
        <v>229</v>
      </c>
      <c r="N58" s="23"/>
      <c r="O58" s="24" t="s">
        <v>221</v>
      </c>
      <c r="P58" s="24" t="s">
        <v>210</v>
      </c>
      <c r="Q58" s="23"/>
      <c r="R58" s="23"/>
      <c r="S58" s="22" t="str">
        <f>"527,5"</f>
        <v>527,5</v>
      </c>
      <c r="T58" s="24" t="str">
        <f>"278,0980"</f>
        <v>278,0980</v>
      </c>
      <c r="U58" s="22" t="s">
        <v>78</v>
      </c>
    </row>
    <row r="60" ht="15">
      <c r="E60" s="8" t="s">
        <v>52</v>
      </c>
    </row>
    <row r="61" ht="15">
      <c r="E61" s="8" t="s">
        <v>53</v>
      </c>
    </row>
    <row r="62" ht="15">
      <c r="E62" s="8" t="s">
        <v>54</v>
      </c>
    </row>
    <row r="63" ht="15">
      <c r="E63" s="8" t="s">
        <v>55</v>
      </c>
    </row>
    <row r="64" ht="15">
      <c r="E64" s="8" t="s">
        <v>55</v>
      </c>
    </row>
    <row r="65" ht="15">
      <c r="E65" s="8" t="s">
        <v>56</v>
      </c>
    </row>
    <row r="66" ht="15">
      <c r="E66" s="8"/>
    </row>
    <row r="68" spans="1:2" ht="18">
      <c r="A68" s="9" t="s">
        <v>57</v>
      </c>
      <c r="B68" s="9"/>
    </row>
    <row r="69" spans="1:2" ht="15">
      <c r="A69" s="13" t="s">
        <v>341</v>
      </c>
      <c r="B69" s="13"/>
    </row>
    <row r="70" spans="1:2" ht="14.25">
      <c r="A70" s="15"/>
      <c r="B70" s="16" t="s">
        <v>342</v>
      </c>
    </row>
    <row r="71" spans="1:5" ht="15">
      <c r="A71" s="17" t="s">
        <v>81</v>
      </c>
      <c r="B71" s="17" t="s">
        <v>82</v>
      </c>
      <c r="C71" s="17" t="s">
        <v>83</v>
      </c>
      <c r="D71" s="17" t="s">
        <v>84</v>
      </c>
      <c r="E71" s="17" t="s">
        <v>85</v>
      </c>
    </row>
    <row r="72" spans="1:5" ht="12.75">
      <c r="A72" s="14" t="s">
        <v>108</v>
      </c>
      <c r="B72" s="5" t="s">
        <v>343</v>
      </c>
      <c r="C72" s="5" t="s">
        <v>344</v>
      </c>
      <c r="D72" s="5" t="s">
        <v>345</v>
      </c>
      <c r="E72" s="18" t="s">
        <v>346</v>
      </c>
    </row>
    <row r="74" spans="1:2" ht="14.25">
      <c r="A74" s="15"/>
      <c r="B74" s="16" t="s">
        <v>347</v>
      </c>
    </row>
    <row r="75" spans="1:5" ht="15">
      <c r="A75" s="17" t="s">
        <v>81</v>
      </c>
      <c r="B75" s="17" t="s">
        <v>82</v>
      </c>
      <c r="C75" s="17" t="s">
        <v>83</v>
      </c>
      <c r="D75" s="17" t="s">
        <v>84</v>
      </c>
      <c r="E75" s="17" t="s">
        <v>85</v>
      </c>
    </row>
    <row r="76" spans="1:5" ht="12.75">
      <c r="A76" s="14" t="s">
        <v>93</v>
      </c>
      <c r="B76" s="5" t="s">
        <v>348</v>
      </c>
      <c r="C76" s="5" t="s">
        <v>349</v>
      </c>
      <c r="D76" s="5" t="s">
        <v>285</v>
      </c>
      <c r="E76" s="18" t="s">
        <v>350</v>
      </c>
    </row>
    <row r="78" spans="1:2" ht="14.25">
      <c r="A78" s="15"/>
      <c r="B78" s="16" t="s">
        <v>80</v>
      </c>
    </row>
    <row r="79" spans="1:5" ht="15">
      <c r="A79" s="17" t="s">
        <v>81</v>
      </c>
      <c r="B79" s="17" t="s">
        <v>82</v>
      </c>
      <c r="C79" s="17" t="s">
        <v>83</v>
      </c>
      <c r="D79" s="17" t="s">
        <v>84</v>
      </c>
      <c r="E79" s="17" t="s">
        <v>85</v>
      </c>
    </row>
    <row r="80" spans="1:5" ht="12.75">
      <c r="A80" s="14" t="s">
        <v>160</v>
      </c>
      <c r="B80" s="5" t="s">
        <v>80</v>
      </c>
      <c r="C80" s="5" t="s">
        <v>101</v>
      </c>
      <c r="D80" s="5" t="s">
        <v>351</v>
      </c>
      <c r="E80" s="18" t="s">
        <v>352</v>
      </c>
    </row>
    <row r="81" spans="1:5" ht="12.75">
      <c r="A81" s="14" t="s">
        <v>120</v>
      </c>
      <c r="B81" s="5" t="s">
        <v>80</v>
      </c>
      <c r="C81" s="5" t="s">
        <v>344</v>
      </c>
      <c r="D81" s="5" t="s">
        <v>308</v>
      </c>
      <c r="E81" s="18" t="s">
        <v>353</v>
      </c>
    </row>
    <row r="82" spans="1:5" ht="12.75">
      <c r="A82" s="14" t="s">
        <v>135</v>
      </c>
      <c r="B82" s="5" t="s">
        <v>80</v>
      </c>
      <c r="C82" s="5" t="s">
        <v>150</v>
      </c>
      <c r="D82" s="5" t="s">
        <v>294</v>
      </c>
      <c r="E82" s="18" t="s">
        <v>354</v>
      </c>
    </row>
    <row r="83" spans="1:5" ht="12.75">
      <c r="A83" s="14" t="s">
        <v>145</v>
      </c>
      <c r="B83" s="5" t="s">
        <v>80</v>
      </c>
      <c r="C83" s="5" t="s">
        <v>355</v>
      </c>
      <c r="D83" s="5" t="s">
        <v>333</v>
      </c>
      <c r="E83" s="18" t="s">
        <v>356</v>
      </c>
    </row>
    <row r="84" spans="1:5" ht="12.75">
      <c r="A84" s="14" t="s">
        <v>172</v>
      </c>
      <c r="B84" s="5" t="s">
        <v>80</v>
      </c>
      <c r="C84" s="5" t="s">
        <v>101</v>
      </c>
      <c r="D84" s="5" t="s">
        <v>357</v>
      </c>
      <c r="E84" s="18" t="s">
        <v>358</v>
      </c>
    </row>
    <row r="85" spans="1:5" ht="12.75">
      <c r="A85" s="14" t="s">
        <v>152</v>
      </c>
      <c r="B85" s="5" t="s">
        <v>80</v>
      </c>
      <c r="C85" s="5" t="s">
        <v>355</v>
      </c>
      <c r="D85" s="5" t="s">
        <v>71</v>
      </c>
      <c r="E85" s="18" t="s">
        <v>359</v>
      </c>
    </row>
    <row r="88" spans="1:2" ht="15">
      <c r="A88" s="13" t="s">
        <v>79</v>
      </c>
      <c r="B88" s="13"/>
    </row>
    <row r="89" spans="1:2" ht="14.25">
      <c r="A89" s="15"/>
      <c r="B89" s="16" t="s">
        <v>360</v>
      </c>
    </row>
    <row r="90" spans="1:5" ht="15">
      <c r="A90" s="17" t="s">
        <v>81</v>
      </c>
      <c r="B90" s="17" t="s">
        <v>82</v>
      </c>
      <c r="C90" s="17" t="s">
        <v>83</v>
      </c>
      <c r="D90" s="17" t="s">
        <v>84</v>
      </c>
      <c r="E90" s="17" t="s">
        <v>85</v>
      </c>
    </row>
    <row r="91" spans="1:5" ht="12.75">
      <c r="A91" s="14" t="s">
        <v>178</v>
      </c>
      <c r="B91" s="5" t="s">
        <v>361</v>
      </c>
      <c r="C91" s="5" t="s">
        <v>150</v>
      </c>
      <c r="D91" s="5" t="s">
        <v>362</v>
      </c>
      <c r="E91" s="18" t="s">
        <v>363</v>
      </c>
    </row>
    <row r="92" spans="1:5" ht="12.75">
      <c r="A92" s="14" t="s">
        <v>271</v>
      </c>
      <c r="B92" s="5" t="s">
        <v>364</v>
      </c>
      <c r="C92" s="5" t="s">
        <v>133</v>
      </c>
      <c r="D92" s="5" t="s">
        <v>365</v>
      </c>
      <c r="E92" s="18" t="s">
        <v>366</v>
      </c>
    </row>
    <row r="93" spans="1:5" ht="12.75">
      <c r="A93" s="14" t="s">
        <v>215</v>
      </c>
      <c r="B93" s="5" t="s">
        <v>367</v>
      </c>
      <c r="C93" s="5" t="s">
        <v>105</v>
      </c>
      <c r="D93" s="5" t="s">
        <v>368</v>
      </c>
      <c r="E93" s="18" t="s">
        <v>369</v>
      </c>
    </row>
    <row r="94" spans="1:5" ht="12.75">
      <c r="A94" s="14" t="s">
        <v>191</v>
      </c>
      <c r="B94" s="5" t="s">
        <v>361</v>
      </c>
      <c r="C94" s="5" t="s">
        <v>101</v>
      </c>
      <c r="D94" s="5" t="s">
        <v>370</v>
      </c>
      <c r="E94" s="18" t="s">
        <v>371</v>
      </c>
    </row>
    <row r="96" spans="1:2" ht="14.25">
      <c r="A96" s="15"/>
      <c r="B96" s="16" t="s">
        <v>372</v>
      </c>
    </row>
    <row r="97" spans="1:5" ht="15">
      <c r="A97" s="17" t="s">
        <v>81</v>
      </c>
      <c r="B97" s="17" t="s">
        <v>82</v>
      </c>
      <c r="C97" s="17" t="s">
        <v>83</v>
      </c>
      <c r="D97" s="17" t="s">
        <v>84</v>
      </c>
      <c r="E97" s="17" t="s">
        <v>85</v>
      </c>
    </row>
    <row r="98" spans="1:5" ht="12.75">
      <c r="A98" s="14" t="s">
        <v>279</v>
      </c>
      <c r="B98" s="5" t="s">
        <v>348</v>
      </c>
      <c r="C98" s="5" t="s">
        <v>133</v>
      </c>
      <c r="D98" s="5" t="s">
        <v>373</v>
      </c>
      <c r="E98" s="18" t="s">
        <v>374</v>
      </c>
    </row>
    <row r="100" spans="1:2" ht="14.25">
      <c r="A100" s="15"/>
      <c r="B100" s="16" t="s">
        <v>80</v>
      </c>
    </row>
    <row r="101" spans="1:5" ht="15">
      <c r="A101" s="17" t="s">
        <v>81</v>
      </c>
      <c r="B101" s="17" t="s">
        <v>82</v>
      </c>
      <c r="C101" s="17" t="s">
        <v>83</v>
      </c>
      <c r="D101" s="17" t="s">
        <v>84</v>
      </c>
      <c r="E101" s="17" t="s">
        <v>85</v>
      </c>
    </row>
    <row r="102" spans="1:5" ht="12.75">
      <c r="A102" s="14" t="s">
        <v>328</v>
      </c>
      <c r="B102" s="5" t="s">
        <v>80</v>
      </c>
      <c r="C102" s="5" t="s">
        <v>268</v>
      </c>
      <c r="D102" s="5" t="s">
        <v>375</v>
      </c>
      <c r="E102" s="18" t="s">
        <v>376</v>
      </c>
    </row>
    <row r="103" spans="1:5" ht="12.75">
      <c r="A103" s="14" t="s">
        <v>288</v>
      </c>
      <c r="B103" s="5" t="s">
        <v>80</v>
      </c>
      <c r="C103" s="5" t="s">
        <v>133</v>
      </c>
      <c r="D103" s="5" t="s">
        <v>377</v>
      </c>
      <c r="E103" s="18" t="s">
        <v>378</v>
      </c>
    </row>
    <row r="104" spans="1:5" ht="12.75">
      <c r="A104" s="14" t="s">
        <v>199</v>
      </c>
      <c r="B104" s="5" t="s">
        <v>80</v>
      </c>
      <c r="C104" s="5" t="s">
        <v>101</v>
      </c>
      <c r="D104" s="5" t="s">
        <v>379</v>
      </c>
      <c r="E104" s="18" t="s">
        <v>380</v>
      </c>
    </row>
    <row r="105" spans="1:5" ht="12.75">
      <c r="A105" s="14" t="s">
        <v>303</v>
      </c>
      <c r="B105" s="5" t="s">
        <v>80</v>
      </c>
      <c r="C105" s="5" t="s">
        <v>86</v>
      </c>
      <c r="D105" s="5" t="s">
        <v>381</v>
      </c>
      <c r="E105" s="18" t="s">
        <v>382</v>
      </c>
    </row>
    <row r="106" spans="1:5" ht="12.75">
      <c r="A106" s="14" t="s">
        <v>310</v>
      </c>
      <c r="B106" s="5" t="s">
        <v>80</v>
      </c>
      <c r="C106" s="5" t="s">
        <v>86</v>
      </c>
      <c r="D106" s="5" t="s">
        <v>383</v>
      </c>
      <c r="E106" s="18" t="s">
        <v>384</v>
      </c>
    </row>
    <row r="107" spans="1:5" ht="12.75">
      <c r="A107" s="14" t="s">
        <v>248</v>
      </c>
      <c r="B107" s="5" t="s">
        <v>80</v>
      </c>
      <c r="C107" s="5" t="s">
        <v>131</v>
      </c>
      <c r="D107" s="5" t="s">
        <v>365</v>
      </c>
      <c r="E107" s="18" t="s">
        <v>385</v>
      </c>
    </row>
    <row r="108" spans="1:5" ht="12.75">
      <c r="A108" s="14" t="s">
        <v>222</v>
      </c>
      <c r="B108" s="5" t="s">
        <v>80</v>
      </c>
      <c r="C108" s="5" t="s">
        <v>105</v>
      </c>
      <c r="D108" s="5" t="s">
        <v>386</v>
      </c>
      <c r="E108" s="18" t="s">
        <v>387</v>
      </c>
    </row>
    <row r="109" spans="1:5" ht="12.75">
      <c r="A109" s="14" t="s">
        <v>316</v>
      </c>
      <c r="B109" s="5" t="s">
        <v>80</v>
      </c>
      <c r="C109" s="5" t="s">
        <v>86</v>
      </c>
      <c r="D109" s="5" t="s">
        <v>388</v>
      </c>
      <c r="E109" s="18" t="s">
        <v>389</v>
      </c>
    </row>
    <row r="110" spans="1:5" ht="12.75">
      <c r="A110" s="14" t="s">
        <v>323</v>
      </c>
      <c r="B110" s="5" t="s">
        <v>80</v>
      </c>
      <c r="C110" s="5" t="s">
        <v>86</v>
      </c>
      <c r="D110" s="5" t="s">
        <v>388</v>
      </c>
      <c r="E110" s="18" t="s">
        <v>390</v>
      </c>
    </row>
    <row r="111" spans="1:5" ht="12.75">
      <c r="A111" s="14" t="s">
        <v>233</v>
      </c>
      <c r="B111" s="5" t="s">
        <v>80</v>
      </c>
      <c r="C111" s="5" t="s">
        <v>105</v>
      </c>
      <c r="D111" s="5" t="s">
        <v>391</v>
      </c>
      <c r="E111" s="18" t="s">
        <v>392</v>
      </c>
    </row>
    <row r="112" spans="1:5" ht="12.75">
      <c r="A112" s="14" t="s">
        <v>255</v>
      </c>
      <c r="B112" s="5" t="s">
        <v>80</v>
      </c>
      <c r="C112" s="5" t="s">
        <v>131</v>
      </c>
      <c r="D112" s="5" t="s">
        <v>393</v>
      </c>
      <c r="E112" s="18" t="s">
        <v>394</v>
      </c>
    </row>
    <row r="113" spans="1:5" ht="12.75">
      <c r="A113" s="14" t="s">
        <v>297</v>
      </c>
      <c r="B113" s="5" t="s">
        <v>80</v>
      </c>
      <c r="C113" s="5" t="s">
        <v>133</v>
      </c>
      <c r="D113" s="5" t="s">
        <v>386</v>
      </c>
      <c r="E113" s="18" t="s">
        <v>395</v>
      </c>
    </row>
    <row r="114" spans="1:5" ht="12.75">
      <c r="A114" s="14" t="s">
        <v>336</v>
      </c>
      <c r="B114" s="5" t="s">
        <v>80</v>
      </c>
      <c r="C114" s="5" t="s">
        <v>268</v>
      </c>
      <c r="D114" s="5" t="s">
        <v>396</v>
      </c>
      <c r="E114" s="18" t="s">
        <v>397</v>
      </c>
    </row>
    <row r="115" spans="1:5" ht="12.75">
      <c r="A115" s="14" t="s">
        <v>211</v>
      </c>
      <c r="B115" s="5" t="s">
        <v>80</v>
      </c>
      <c r="C115" s="5" t="s">
        <v>101</v>
      </c>
      <c r="D115" s="5" t="s">
        <v>398</v>
      </c>
      <c r="E115" s="18" t="s">
        <v>399</v>
      </c>
    </row>
    <row r="116" spans="1:5" ht="12.75">
      <c r="A116" s="14" t="s">
        <v>241</v>
      </c>
      <c r="B116" s="5" t="s">
        <v>80</v>
      </c>
      <c r="C116" s="5" t="s">
        <v>105</v>
      </c>
      <c r="D116" s="5" t="s">
        <v>400</v>
      </c>
      <c r="E116" s="18" t="s">
        <v>401</v>
      </c>
    </row>
    <row r="117" spans="1:5" ht="12.75">
      <c r="A117" s="14" t="s">
        <v>259</v>
      </c>
      <c r="B117" s="5" t="s">
        <v>80</v>
      </c>
      <c r="C117" s="5" t="s">
        <v>131</v>
      </c>
      <c r="D117" s="5" t="s">
        <v>402</v>
      </c>
      <c r="E117" s="18" t="s">
        <v>403</v>
      </c>
    </row>
    <row r="119" spans="1:2" ht="14.25">
      <c r="A119" s="15"/>
      <c r="B119" s="16" t="s">
        <v>404</v>
      </c>
    </row>
    <row r="120" spans="1:5" ht="15">
      <c r="A120" s="17" t="s">
        <v>81</v>
      </c>
      <c r="B120" s="17" t="s">
        <v>82</v>
      </c>
      <c r="C120" s="17" t="s">
        <v>83</v>
      </c>
      <c r="D120" s="17" t="s">
        <v>84</v>
      </c>
      <c r="E120" s="17" t="s">
        <v>85</v>
      </c>
    </row>
    <row r="121" spans="1:5" ht="12.75">
      <c r="A121" s="14" t="s">
        <v>263</v>
      </c>
      <c r="B121" s="5" t="s">
        <v>405</v>
      </c>
      <c r="C121" s="5" t="s">
        <v>131</v>
      </c>
      <c r="D121" s="5" t="s">
        <v>406</v>
      </c>
      <c r="E121" s="18" t="s">
        <v>407</v>
      </c>
    </row>
  </sheetData>
  <sheetProtection/>
  <mergeCells count="25">
    <mergeCell ref="A44:T44"/>
    <mergeCell ref="A50:T50"/>
    <mergeCell ref="A56:T56"/>
    <mergeCell ref="A24:T24"/>
    <mergeCell ref="A27:T27"/>
    <mergeCell ref="A32:T32"/>
    <mergeCell ref="A38:T38"/>
    <mergeCell ref="A8:T8"/>
    <mergeCell ref="A12:T12"/>
    <mergeCell ref="A15:T15"/>
    <mergeCell ref="A20:T20"/>
    <mergeCell ref="S3:S4"/>
    <mergeCell ref="T3:T4"/>
    <mergeCell ref="K3:N3"/>
    <mergeCell ref="O3:R3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3" width="2.125" style="4" bestFit="1" customWidth="1"/>
    <col min="14" max="14" width="4.875" style="4" bestFit="1" customWidth="1"/>
    <col min="15" max="17" width="2.125" style="4" bestFit="1" customWidth="1"/>
    <col min="18" max="18" width="4.875" style="4" bestFit="1" customWidth="1"/>
    <col min="19" max="19" width="7.875" style="5" bestFit="1" customWidth="1"/>
    <col min="20" max="20" width="6.37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5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40</v>
      </c>
      <c r="L3" s="37"/>
      <c r="M3" s="37"/>
      <c r="N3" s="37"/>
      <c r="O3" s="37" t="s">
        <v>41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3"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3" width="2.125" style="4" bestFit="1" customWidth="1"/>
    <col min="14" max="14" width="4.875" style="4" bestFit="1" customWidth="1"/>
    <col min="15" max="17" width="2.125" style="4" bestFit="1" customWidth="1"/>
    <col min="18" max="18" width="4.875" style="4" bestFit="1" customWidth="1"/>
    <col min="19" max="19" width="7.875" style="5" bestFit="1" customWidth="1"/>
    <col min="20" max="20" width="6.37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5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40</v>
      </c>
      <c r="L3" s="37"/>
      <c r="M3" s="37"/>
      <c r="N3" s="37"/>
      <c r="O3" s="37" t="s">
        <v>41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3"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2.625" style="5" bestFit="1" customWidth="1"/>
    <col min="7" max="7" width="6.875" style="4" bestFit="1" customWidth="1"/>
    <col min="8" max="9" width="5.625" style="4" bestFit="1" customWidth="1"/>
    <col min="10" max="10" width="4.875" style="4" bestFit="1" customWidth="1"/>
    <col min="11" max="13" width="6.875" style="4" bestFit="1" customWidth="1"/>
    <col min="14" max="14" width="4.875" style="4" bestFit="1" customWidth="1"/>
    <col min="15" max="16" width="6.875" style="4" bestFit="1" customWidth="1"/>
    <col min="17" max="17" width="5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5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 t="s">
        <v>59</v>
      </c>
      <c r="E3" s="37" t="s">
        <v>45</v>
      </c>
      <c r="F3" s="37" t="s">
        <v>50</v>
      </c>
      <c r="G3" s="37" t="s">
        <v>60</v>
      </c>
      <c r="H3" s="37"/>
      <c r="I3" s="37"/>
      <c r="J3" s="37"/>
      <c r="K3" s="37" t="s">
        <v>61</v>
      </c>
      <c r="L3" s="37"/>
      <c r="M3" s="37"/>
      <c r="N3" s="37"/>
      <c r="O3" s="37" t="s">
        <v>62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5" spans="1:20" ht="15">
      <c r="A5" s="53" t="s">
        <v>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ht="12.75">
      <c r="A6" s="10" t="s">
        <v>65</v>
      </c>
      <c r="B6" s="10" t="s">
        <v>66</v>
      </c>
      <c r="C6" s="10" t="s">
        <v>67</v>
      </c>
      <c r="D6" s="10" t="str">
        <f>"0,5513"</f>
        <v>0,5513</v>
      </c>
      <c r="E6" s="34" t="s">
        <v>37</v>
      </c>
      <c r="F6" s="10" t="s">
        <v>69</v>
      </c>
      <c r="G6" s="11" t="s">
        <v>70</v>
      </c>
      <c r="H6" s="12" t="s">
        <v>71</v>
      </c>
      <c r="I6" s="11" t="s">
        <v>71</v>
      </c>
      <c r="J6" s="12"/>
      <c r="K6" s="11" t="s">
        <v>72</v>
      </c>
      <c r="L6" s="11" t="s">
        <v>73</v>
      </c>
      <c r="M6" s="11" t="s">
        <v>74</v>
      </c>
      <c r="N6" s="12"/>
      <c r="O6" s="11" t="s">
        <v>75</v>
      </c>
      <c r="P6" s="11" t="s">
        <v>76</v>
      </c>
      <c r="Q6" s="12" t="s">
        <v>77</v>
      </c>
      <c r="R6" s="12"/>
      <c r="S6" s="10" t="str">
        <f>"710.00w"</f>
        <v>710.00w</v>
      </c>
      <c r="T6" s="11" t="str">
        <f>"391,4230"</f>
        <v>391,4230</v>
      </c>
      <c r="U6" s="10" t="s">
        <v>78</v>
      </c>
    </row>
    <row r="8" ht="15">
      <c r="E8" s="8" t="s">
        <v>52</v>
      </c>
    </row>
    <row r="9" ht="15">
      <c r="E9" s="8" t="s">
        <v>53</v>
      </c>
    </row>
    <row r="10" ht="15">
      <c r="E10" s="8" t="s">
        <v>54</v>
      </c>
    </row>
    <row r="11" ht="15">
      <c r="E11" s="8" t="s">
        <v>55</v>
      </c>
    </row>
    <row r="12" ht="15">
      <c r="E12" s="8" t="s">
        <v>55</v>
      </c>
    </row>
    <row r="13" ht="15">
      <c r="E13" s="8" t="s">
        <v>56</v>
      </c>
    </row>
    <row r="14" ht="15">
      <c r="E14" s="8"/>
    </row>
    <row r="16" spans="1:2" ht="18">
      <c r="A16" s="9" t="s">
        <v>57</v>
      </c>
      <c r="B16" s="9"/>
    </row>
    <row r="17" spans="1:2" ht="15">
      <c r="A17" s="13" t="s">
        <v>79</v>
      </c>
      <c r="B17" s="13"/>
    </row>
    <row r="18" spans="1:2" ht="14.25">
      <c r="A18" s="15"/>
      <c r="B18" s="16" t="s">
        <v>80</v>
      </c>
    </row>
    <row r="19" spans="1:5" ht="15">
      <c r="A19" s="17" t="s">
        <v>81</v>
      </c>
      <c r="B19" s="17" t="s">
        <v>82</v>
      </c>
      <c r="C19" s="17" t="s">
        <v>83</v>
      </c>
      <c r="D19" s="17" t="s">
        <v>84</v>
      </c>
      <c r="E19" s="17" t="s">
        <v>85</v>
      </c>
    </row>
    <row r="20" spans="1:5" ht="12.75">
      <c r="A20" s="14" t="s">
        <v>64</v>
      </c>
      <c r="B20" s="5" t="s">
        <v>80</v>
      </c>
      <c r="C20" s="5" t="s">
        <v>86</v>
      </c>
      <c r="D20" s="5" t="s">
        <v>87</v>
      </c>
      <c r="E20" s="18" t="s">
        <v>88</v>
      </c>
    </row>
  </sheetData>
  <sheetProtection/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7.75390625" style="5" bestFit="1" customWidth="1"/>
    <col min="3" max="4" width="10.625" style="5" bestFit="1" customWidth="1"/>
    <col min="5" max="5" width="22.75390625" style="5" bestFit="1" customWidth="1"/>
    <col min="6" max="6" width="33.375" style="5" bestFit="1" customWidth="1"/>
    <col min="7" max="7" width="4.625" style="4" bestFit="1" customWidth="1"/>
    <col min="8" max="8" width="4.625" style="31" bestFit="1" customWidth="1"/>
    <col min="9" max="9" width="7.875" style="5" bestFit="1" customWidth="1"/>
    <col min="10" max="10" width="7.625" style="4" bestFit="1" customWidth="1"/>
    <col min="11" max="11" width="12.25390625" style="5" bestFit="1" customWidth="1"/>
    <col min="12" max="16384" width="9.125" style="4" customWidth="1"/>
  </cols>
  <sheetData>
    <row r="1" spans="1:11" s="3" customFormat="1" ht="28.5" customHeight="1">
      <c r="A1" s="52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 t="s">
        <v>1123</v>
      </c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5" spans="1:10" ht="15">
      <c r="A5" s="53" t="s">
        <v>1124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9" t="s">
        <v>3</v>
      </c>
      <c r="B6" s="19" t="s">
        <v>4</v>
      </c>
      <c r="C6" s="19" t="s">
        <v>5</v>
      </c>
      <c r="D6" s="19" t="str">
        <f>"1,0000"</f>
        <v>1,0000</v>
      </c>
      <c r="E6" s="19" t="s">
        <v>830</v>
      </c>
      <c r="F6" s="19" t="s">
        <v>750</v>
      </c>
      <c r="G6" s="20" t="s">
        <v>157</v>
      </c>
      <c r="H6" s="29" t="s">
        <v>6</v>
      </c>
      <c r="I6" s="19" t="str">
        <f>"2310,0"</f>
        <v>2310,0</v>
      </c>
      <c r="J6" s="20" t="str">
        <f>"28,7671"</f>
        <v>28,7671</v>
      </c>
      <c r="K6" s="19" t="s">
        <v>78</v>
      </c>
    </row>
    <row r="7" spans="1:11" ht="12.75">
      <c r="A7" s="25" t="s">
        <v>8</v>
      </c>
      <c r="B7" s="25" t="s">
        <v>9</v>
      </c>
      <c r="C7" s="25" t="s">
        <v>262</v>
      </c>
      <c r="D7" s="25" t="str">
        <f>"1,0000"</f>
        <v>1,0000</v>
      </c>
      <c r="E7" s="25" t="s">
        <v>10</v>
      </c>
      <c r="F7" s="25" t="s">
        <v>750</v>
      </c>
      <c r="G7" s="27" t="s">
        <v>157</v>
      </c>
      <c r="H7" s="33" t="s">
        <v>11</v>
      </c>
      <c r="I7" s="25" t="str">
        <f>"3410,0"</f>
        <v>3410,0</v>
      </c>
      <c r="J7" s="27" t="str">
        <f>"38,0580"</f>
        <v>38,0580</v>
      </c>
      <c r="K7" s="25" t="s">
        <v>12</v>
      </c>
    </row>
    <row r="8" spans="1:11" ht="12.75">
      <c r="A8" s="22" t="s">
        <v>14</v>
      </c>
      <c r="B8" s="22" t="s">
        <v>833</v>
      </c>
      <c r="C8" s="22" t="s">
        <v>236</v>
      </c>
      <c r="D8" s="22" t="str">
        <f>"1,0000"</f>
        <v>1,0000</v>
      </c>
      <c r="E8" s="22" t="s">
        <v>749</v>
      </c>
      <c r="F8" s="22" t="s">
        <v>750</v>
      </c>
      <c r="G8" s="24" t="s">
        <v>157</v>
      </c>
      <c r="H8" s="30" t="s">
        <v>15</v>
      </c>
      <c r="I8" s="22" t="str">
        <f>"3135,0"</f>
        <v>3135,0</v>
      </c>
      <c r="J8" s="24" t="str">
        <f>"38,9440"</f>
        <v>38,9440</v>
      </c>
      <c r="K8" s="22" t="s">
        <v>811</v>
      </c>
    </row>
    <row r="10" ht="15">
      <c r="E10" s="8" t="s">
        <v>52</v>
      </c>
    </row>
    <row r="11" ht="15">
      <c r="E11" s="8" t="s">
        <v>53</v>
      </c>
    </row>
    <row r="12" ht="15">
      <c r="E12" s="8" t="s">
        <v>54</v>
      </c>
    </row>
    <row r="13" ht="15">
      <c r="E13" s="8" t="s">
        <v>55</v>
      </c>
    </row>
    <row r="14" ht="15">
      <c r="E14" s="8" t="s">
        <v>55</v>
      </c>
    </row>
    <row r="15" ht="15">
      <c r="E15" s="8" t="s">
        <v>56</v>
      </c>
    </row>
    <row r="16" ht="15">
      <c r="E16" s="8"/>
    </row>
    <row r="18" spans="1:2" ht="18">
      <c r="A18" s="9" t="s">
        <v>57</v>
      </c>
      <c r="B18" s="9"/>
    </row>
    <row r="19" spans="1:2" ht="15">
      <c r="A19" s="13" t="s">
        <v>79</v>
      </c>
      <c r="B19" s="13"/>
    </row>
    <row r="20" spans="1:2" ht="14.25">
      <c r="A20" s="15"/>
      <c r="B20" s="16" t="s">
        <v>360</v>
      </c>
    </row>
    <row r="21" spans="1:5" ht="15">
      <c r="A21" s="17" t="s">
        <v>81</v>
      </c>
      <c r="B21" s="17" t="s">
        <v>82</v>
      </c>
      <c r="C21" s="17" t="s">
        <v>83</v>
      </c>
      <c r="D21" s="17" t="s">
        <v>84</v>
      </c>
      <c r="E21" s="17" t="s">
        <v>1135</v>
      </c>
    </row>
    <row r="22" spans="1:5" ht="12.75">
      <c r="A22" s="14" t="s">
        <v>2</v>
      </c>
      <c r="B22" s="5" t="s">
        <v>367</v>
      </c>
      <c r="C22" s="5" t="s">
        <v>1136</v>
      </c>
      <c r="D22" s="5" t="s">
        <v>16</v>
      </c>
      <c r="E22" s="18" t="s">
        <v>17</v>
      </c>
    </row>
    <row r="24" spans="1:2" ht="14.25">
      <c r="A24" s="15"/>
      <c r="B24" s="16" t="s">
        <v>80</v>
      </c>
    </row>
    <row r="25" spans="1:5" ht="15">
      <c r="A25" s="17" t="s">
        <v>81</v>
      </c>
      <c r="B25" s="17" t="s">
        <v>82</v>
      </c>
      <c r="C25" s="17" t="s">
        <v>83</v>
      </c>
      <c r="D25" s="17" t="s">
        <v>84</v>
      </c>
      <c r="E25" s="17" t="s">
        <v>1135</v>
      </c>
    </row>
    <row r="26" spans="1:5" ht="12.75">
      <c r="A26" s="14" t="s">
        <v>13</v>
      </c>
      <c r="B26" s="5" t="s">
        <v>80</v>
      </c>
      <c r="C26" s="5" t="s">
        <v>1136</v>
      </c>
      <c r="D26" s="5" t="s">
        <v>18</v>
      </c>
      <c r="E26" s="18" t="s">
        <v>19</v>
      </c>
    </row>
    <row r="27" spans="1:5" ht="12.75">
      <c r="A27" s="14" t="s">
        <v>7</v>
      </c>
      <c r="B27" s="5" t="s">
        <v>80</v>
      </c>
      <c r="C27" s="5" t="s">
        <v>1136</v>
      </c>
      <c r="D27" s="5" t="s">
        <v>1115</v>
      </c>
      <c r="E27" s="18" t="s">
        <v>20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9" width="2.125" style="4" bestFit="1" customWidth="1"/>
    <col min="10" max="10" width="4.875" style="4" bestFit="1" customWidth="1"/>
    <col min="11" max="13" width="2.125" style="4" bestFit="1" customWidth="1"/>
    <col min="14" max="14" width="4.875" style="4" bestFit="1" customWidth="1"/>
    <col min="15" max="17" width="2.125" style="4" bestFit="1" customWidth="1"/>
    <col min="18" max="18" width="4.875" style="4" bestFit="1" customWidth="1"/>
    <col min="19" max="19" width="7.875" style="5" bestFit="1" customWidth="1"/>
    <col min="20" max="20" width="6.37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5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39</v>
      </c>
      <c r="H3" s="37"/>
      <c r="I3" s="37"/>
      <c r="J3" s="37"/>
      <c r="K3" s="37" t="s">
        <v>40</v>
      </c>
      <c r="L3" s="37"/>
      <c r="M3" s="37"/>
      <c r="N3" s="37"/>
      <c r="O3" s="37" t="s">
        <v>41</v>
      </c>
      <c r="P3" s="37"/>
      <c r="Q3" s="37"/>
      <c r="R3" s="37"/>
      <c r="S3" s="37" t="s">
        <v>42</v>
      </c>
      <c r="T3" s="37" t="s">
        <v>44</v>
      </c>
      <c r="U3" s="40" t="s">
        <v>43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">
        <v>1</v>
      </c>
      <c r="H4" s="2">
        <v>2</v>
      </c>
      <c r="I4" s="2">
        <v>3</v>
      </c>
      <c r="J4" s="2" t="s">
        <v>46</v>
      </c>
      <c r="K4" s="2">
        <v>1</v>
      </c>
      <c r="L4" s="2">
        <v>2</v>
      </c>
      <c r="M4" s="2">
        <v>3</v>
      </c>
      <c r="N4" s="2" t="s">
        <v>46</v>
      </c>
      <c r="O4" s="2">
        <v>1</v>
      </c>
      <c r="P4" s="2">
        <v>2</v>
      </c>
      <c r="Q4" s="2">
        <v>3</v>
      </c>
      <c r="R4" s="2" t="s">
        <v>46</v>
      </c>
      <c r="S4" s="51"/>
      <c r="T4" s="51"/>
      <c r="U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3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1145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3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52" t="s">
        <v>1144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3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38</v>
      </c>
      <c r="B3" s="50" t="s">
        <v>48</v>
      </c>
      <c r="C3" s="50" t="s">
        <v>49</v>
      </c>
      <c r="D3" s="37"/>
      <c r="E3" s="37" t="s">
        <v>45</v>
      </c>
      <c r="F3" s="37" t="s">
        <v>50</v>
      </c>
      <c r="G3" s="37" t="s">
        <v>1097</v>
      </c>
      <c r="H3" s="37"/>
      <c r="I3" s="37" t="s">
        <v>1100</v>
      </c>
      <c r="J3" s="37" t="s">
        <v>44</v>
      </c>
      <c r="K3" s="40" t="s">
        <v>43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" t="s">
        <v>1098</v>
      </c>
      <c r="H4" s="28" t="s">
        <v>1099</v>
      </c>
      <c r="I4" s="51"/>
      <c r="J4" s="51"/>
      <c r="K4" s="41"/>
    </row>
    <row r="6" ht="15">
      <c r="E6" s="8" t="s">
        <v>52</v>
      </c>
    </row>
    <row r="7" ht="15">
      <c r="E7" s="8" t="s">
        <v>53</v>
      </c>
    </row>
    <row r="8" ht="15">
      <c r="E8" s="8" t="s">
        <v>54</v>
      </c>
    </row>
    <row r="9" ht="15">
      <c r="E9" s="8" t="s">
        <v>55</v>
      </c>
    </row>
    <row r="10" ht="15">
      <c r="E10" s="8" t="s">
        <v>55</v>
      </c>
    </row>
    <row r="11" ht="15">
      <c r="E11" s="8" t="s">
        <v>56</v>
      </c>
    </row>
    <row r="12" ht="15">
      <c r="E12" s="8"/>
    </row>
    <row r="14" spans="1:2" ht="18">
      <c r="A14" s="9" t="s">
        <v>57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2018-12-26T16:35:11Z</dcterms:modified>
  <cp:category/>
  <cp:version/>
  <cp:contentType/>
  <cp:contentStatus/>
</cp:coreProperties>
</file>