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activeTab="7"/>
  </bookViews>
  <sheets>
    <sheet name="ПРО присед б.э." sheetId="1" r:id="rId1"/>
    <sheet name="Люб. присед б.э." sheetId="2" r:id="rId2"/>
    <sheet name="ПРО тяга б.э." sheetId="3" r:id="rId3"/>
    <sheet name="Люб. тяга б.э." sheetId="4" r:id="rId4"/>
    <sheet name="ПРО жим софт экип." sheetId="5" r:id="rId5"/>
    <sheet name="Люб. жим софт экип." sheetId="6" r:id="rId6"/>
    <sheet name="ПРО жим б.э." sheetId="7" r:id="rId7"/>
    <sheet name="Люб. жим б.э." sheetId="8" r:id="rId8"/>
    <sheet name="ПРО жим 1.слой" sheetId="9" r:id="rId9"/>
    <sheet name="Люб. жим 1.слой" sheetId="10" r:id="rId10"/>
    <sheet name="Люб. ПЛ. софт экип." sheetId="11" r:id="rId11"/>
    <sheet name="ПРО ПЛ.софт экип" sheetId="12" r:id="rId12"/>
    <sheet name="ПРО ПЛ. б.э." sheetId="13" r:id="rId13"/>
    <sheet name="Люб. ПЛ. б.э." sheetId="14" r:id="rId14"/>
    <sheet name="Проф. народный жим 1 вес" sheetId="15" r:id="rId15"/>
    <sheet name="Люб. народный жим 1 вес" sheetId="16" r:id="rId16"/>
    <sheet name="Пауэрспорт Профессионалы" sheetId="17" r:id="rId17"/>
    <sheet name="Пауэрспорт Любители" sheetId="18" r:id="rId18"/>
    <sheet name="Подьем шт.на  бицепс ЛЮБ." sheetId="19" r:id="rId19"/>
    <sheet name="Армейский жим ЛЮБ" sheetId="20" r:id="rId20"/>
    <sheet name="РЖ любители 55 кг." sheetId="21" r:id="rId21"/>
  </sheets>
  <definedNames/>
  <calcPr fullCalcOnLoad="1"/>
</workbook>
</file>

<file path=xl/sharedStrings.xml><?xml version="1.0" encoding="utf-8"?>
<sst xmlns="http://schemas.openxmlformats.org/spreadsheetml/2006/main" count="3521" uniqueCount="1041">
  <si>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</si>
  <si>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</si>
  <si>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</si>
  <si>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</si>
  <si>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</si>
  <si>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</si>
  <si>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</si>
  <si>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</si>
  <si>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</si>
  <si>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</si>
  <si>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</si>
  <si>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</si>
  <si>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</si>
  <si>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</si>
  <si>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</si>
  <si>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</si>
  <si>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</si>
  <si>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</si>
  <si>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Shv/Mel</t>
  </si>
  <si>
    <t>ВЕСОВАЯ КАТЕГОРИЯ   44</t>
  </si>
  <si>
    <t>Пономарева Елена</t>
  </si>
  <si>
    <t>1. Пономарева Елена</t>
  </si>
  <si>
    <t>Девушки 18 - 19 (04.12.1998)/19</t>
  </si>
  <si>
    <t>41,40</t>
  </si>
  <si>
    <t xml:space="preserve">лично </t>
  </si>
  <si>
    <t xml:space="preserve">Осинники/Кемеровская область </t>
  </si>
  <si>
    <t>60,0</t>
  </si>
  <si>
    <t>65,0</t>
  </si>
  <si>
    <t>70,0</t>
  </si>
  <si>
    <t>20,0</t>
  </si>
  <si>
    <t>25,0</t>
  </si>
  <si>
    <t>30,0</t>
  </si>
  <si>
    <t xml:space="preserve">Савельев В. </t>
  </si>
  <si>
    <t>ВЕСОВАЯ КАТЕГОРИЯ   52</t>
  </si>
  <si>
    <t>Кажушка Мария</t>
  </si>
  <si>
    <t>1. Кажушка Мария</t>
  </si>
  <si>
    <t>Открытая (30.03.1985)/33</t>
  </si>
  <si>
    <t>50,45</t>
  </si>
  <si>
    <t xml:space="preserve">Олимпия </t>
  </si>
  <si>
    <t xml:space="preserve">Белово/Кемеровская область </t>
  </si>
  <si>
    <t>85,0</t>
  </si>
  <si>
    <t>95,0</t>
  </si>
  <si>
    <t>100,0</t>
  </si>
  <si>
    <t>40,0</t>
  </si>
  <si>
    <t>45,0</t>
  </si>
  <si>
    <t>50,0</t>
  </si>
  <si>
    <t>120,0</t>
  </si>
  <si>
    <t xml:space="preserve">Ельшин К </t>
  </si>
  <si>
    <t>Курнявина Анна</t>
  </si>
  <si>
    <t>2. Курнявина Анна</t>
  </si>
  <si>
    <t>Открытая (09.05.1994)/24</t>
  </si>
  <si>
    <t>51,10</t>
  </si>
  <si>
    <t xml:space="preserve">Кемерово/Кемеровская область </t>
  </si>
  <si>
    <t>35,0</t>
  </si>
  <si>
    <t>37,0</t>
  </si>
  <si>
    <t>75,0</t>
  </si>
  <si>
    <t>80,0</t>
  </si>
  <si>
    <t xml:space="preserve">Пак П. </t>
  </si>
  <si>
    <t>ВЕСОВАЯ КАТЕГОРИЯ   56</t>
  </si>
  <si>
    <t>Садыгова Наталья</t>
  </si>
  <si>
    <t>1. Садыгова Наталья</t>
  </si>
  <si>
    <t>Открытая (19.01.1993)/25</t>
  </si>
  <si>
    <t>56,00</t>
  </si>
  <si>
    <t xml:space="preserve">Малашкин В. </t>
  </si>
  <si>
    <t>ВЕСОВАЯ КАТЕГОРИЯ   60</t>
  </si>
  <si>
    <t>Буданаева Анна</t>
  </si>
  <si>
    <t>1. Буданаева Анна</t>
  </si>
  <si>
    <t>Девушки 16 - 17 (24.11.2000)/17</t>
  </si>
  <si>
    <t>56,10</t>
  </si>
  <si>
    <t xml:space="preserve">Веселые ребята </t>
  </si>
  <si>
    <t xml:space="preserve">Анжеро-Судженск/Кемеровская область </t>
  </si>
  <si>
    <t>105,0</t>
  </si>
  <si>
    <t>115,0</t>
  </si>
  <si>
    <t xml:space="preserve">Зевякин И. </t>
  </si>
  <si>
    <t>Завгородская Елизавета</t>
  </si>
  <si>
    <t>1. Завгородская Елизавета</t>
  </si>
  <si>
    <t>Открытая (14.05.1994)/24</t>
  </si>
  <si>
    <t>58,20</t>
  </si>
  <si>
    <t xml:space="preserve">Томск/Томская область </t>
  </si>
  <si>
    <t>90,0</t>
  </si>
  <si>
    <t>47,0</t>
  </si>
  <si>
    <t>110,0</t>
  </si>
  <si>
    <t>112,5</t>
  </si>
  <si>
    <t xml:space="preserve"> </t>
  </si>
  <si>
    <t>ВЕСОВАЯ КАТЕГОРИЯ   67.5</t>
  </si>
  <si>
    <t>Радюк Анна</t>
  </si>
  <si>
    <t>1. Радюк Анна</t>
  </si>
  <si>
    <t>Открытая (22.01.1993)/25</t>
  </si>
  <si>
    <t>63,00</t>
  </si>
  <si>
    <t>145,0</t>
  </si>
  <si>
    <t>155,0</t>
  </si>
  <si>
    <t>160,0</t>
  </si>
  <si>
    <t>97,0</t>
  </si>
  <si>
    <t>102,0</t>
  </si>
  <si>
    <t>170,0</t>
  </si>
  <si>
    <t>182,5</t>
  </si>
  <si>
    <t xml:space="preserve">Обухович А. </t>
  </si>
  <si>
    <t>Минакова Валентина</t>
  </si>
  <si>
    <t>2. Минакова Валентина</t>
  </si>
  <si>
    <t>Открытая (01.11.1987)/30</t>
  </si>
  <si>
    <t>67,50</t>
  </si>
  <si>
    <t xml:space="preserve">Полысаево/Кемеровская область </t>
  </si>
  <si>
    <t>117,5</t>
  </si>
  <si>
    <t>55,0</t>
  </si>
  <si>
    <t>62,5</t>
  </si>
  <si>
    <t>125,0</t>
  </si>
  <si>
    <t>132,5</t>
  </si>
  <si>
    <t>Кораблева Анна</t>
  </si>
  <si>
    <t>3. Кораблева Анна</t>
  </si>
  <si>
    <t>Открытая (14.07.1993)/25</t>
  </si>
  <si>
    <t>65,60</t>
  </si>
  <si>
    <t>ВЕСОВАЯ КАТЕГОРИЯ   82.5</t>
  </si>
  <si>
    <t>Ревюк Нина</t>
  </si>
  <si>
    <t>1. Ревюк Нина</t>
  </si>
  <si>
    <t>Открытая (24.05.1985)/33</t>
  </si>
  <si>
    <t>81,80</t>
  </si>
  <si>
    <t xml:space="preserve">Новосибирск/Новосибирская область </t>
  </si>
  <si>
    <t>130,0</t>
  </si>
  <si>
    <t>140,0</t>
  </si>
  <si>
    <t xml:space="preserve">Ревюк В </t>
  </si>
  <si>
    <t>Тусалимов Андрей</t>
  </si>
  <si>
    <t>1. Тусалимов Андрей</t>
  </si>
  <si>
    <t>Открытая (10.05.1992)/26</t>
  </si>
  <si>
    <t>55,20</t>
  </si>
  <si>
    <t xml:space="preserve">Железное братство </t>
  </si>
  <si>
    <t>135,0</t>
  </si>
  <si>
    <t>150,0</t>
  </si>
  <si>
    <t>165,0</t>
  </si>
  <si>
    <t>180,0</t>
  </si>
  <si>
    <t xml:space="preserve">Ефременко В. </t>
  </si>
  <si>
    <t>Волчков Павел</t>
  </si>
  <si>
    <t>1. Волчков Павел</t>
  </si>
  <si>
    <t>Юноши 14 - 15 (31.07.2004)/14</t>
  </si>
  <si>
    <t>60,80</t>
  </si>
  <si>
    <t>112,0</t>
  </si>
  <si>
    <t>77,0</t>
  </si>
  <si>
    <t>122,0</t>
  </si>
  <si>
    <t>132,0</t>
  </si>
  <si>
    <t xml:space="preserve">Ельшин А. </t>
  </si>
  <si>
    <t>Шипилов Сергей</t>
  </si>
  <si>
    <t>1. Шипилов Сергей</t>
  </si>
  <si>
    <t>Юноши 16 - 17 (18.01.2002)/16</t>
  </si>
  <si>
    <t>63,30</t>
  </si>
  <si>
    <t>57,5</t>
  </si>
  <si>
    <t>67,5</t>
  </si>
  <si>
    <t>Емельянов Николай</t>
  </si>
  <si>
    <t>1. Емельянов Николай</t>
  </si>
  <si>
    <t>Мастера 50 - 54 (30.12.1963)/54</t>
  </si>
  <si>
    <t>64,00</t>
  </si>
  <si>
    <t xml:space="preserve">Ленинск-Кузнецкий/Кемеровская область </t>
  </si>
  <si>
    <t>ВЕСОВАЯ КАТЕГОРИЯ   75</t>
  </si>
  <si>
    <t>Костенко Андрей</t>
  </si>
  <si>
    <t>1. Костенко Андрей</t>
  </si>
  <si>
    <t>Открытая (07.07.1990)/28</t>
  </si>
  <si>
    <t>71,00</t>
  </si>
  <si>
    <t>127,0</t>
  </si>
  <si>
    <t>190,0</t>
  </si>
  <si>
    <t>200,0</t>
  </si>
  <si>
    <t>205,0</t>
  </si>
  <si>
    <t>Карпов Михаил</t>
  </si>
  <si>
    <t>2. Карпов Михаил</t>
  </si>
  <si>
    <t>Открытая (06.04.1992)/26</t>
  </si>
  <si>
    <t>72,50</t>
  </si>
  <si>
    <t>Объедков Михаил</t>
  </si>
  <si>
    <t>1. Объедков Михаил</t>
  </si>
  <si>
    <t>Юниоры 20 - 23 (25.07.1997)/21</t>
  </si>
  <si>
    <t>80,20</t>
  </si>
  <si>
    <t xml:space="preserve">Абакан/Хакасия республика </t>
  </si>
  <si>
    <t>195,0</t>
  </si>
  <si>
    <t>185,0</t>
  </si>
  <si>
    <t xml:space="preserve">Погонин Е. </t>
  </si>
  <si>
    <t>Мацак Артем</t>
  </si>
  <si>
    <t>1. Мацак Артем</t>
  </si>
  <si>
    <t>Открытая (24.06.1994)/24</t>
  </si>
  <si>
    <t>82,40</t>
  </si>
  <si>
    <t>212,0</t>
  </si>
  <si>
    <t>142,5</t>
  </si>
  <si>
    <t>235,0</t>
  </si>
  <si>
    <t>248,0</t>
  </si>
  <si>
    <t>260,0</t>
  </si>
  <si>
    <t>Полосин Сергей</t>
  </si>
  <si>
    <t>2. Полосин Сергей</t>
  </si>
  <si>
    <t>Открытая (27.09.1983)/35</t>
  </si>
  <si>
    <t>81,40</t>
  </si>
  <si>
    <t xml:space="preserve">Новоалтайск/Алтайский край </t>
  </si>
  <si>
    <t>215,0</t>
  </si>
  <si>
    <t>240,0</t>
  </si>
  <si>
    <t>250,0</t>
  </si>
  <si>
    <t>Аржанников Михаил</t>
  </si>
  <si>
    <t>3. Аржанников Михаил</t>
  </si>
  <si>
    <t>Открытая (15.04.1993)/25</t>
  </si>
  <si>
    <t>81,90</t>
  </si>
  <si>
    <t>172,5</t>
  </si>
  <si>
    <t>212,5</t>
  </si>
  <si>
    <t>220,0</t>
  </si>
  <si>
    <t>230,0</t>
  </si>
  <si>
    <t>ВЕСОВАЯ КАТЕГОРИЯ   90</t>
  </si>
  <si>
    <t>Желонкин Игорь</t>
  </si>
  <si>
    <t>-. Желонкин Игорь</t>
  </si>
  <si>
    <t>Юниоры 20 - 23 (19.02.1998)/20</t>
  </si>
  <si>
    <t>89,60</t>
  </si>
  <si>
    <t>0,0</t>
  </si>
  <si>
    <t>Романович Денис</t>
  </si>
  <si>
    <t>-. Романович Денис</t>
  </si>
  <si>
    <t>Открытая (15.06.1988)/30</t>
  </si>
  <si>
    <t>90,00</t>
  </si>
  <si>
    <t xml:space="preserve">Яшкино/Кемеровская область </t>
  </si>
  <si>
    <t>210,0</t>
  </si>
  <si>
    <t>ВЕСОВАЯ КАТЕГОРИЯ   100</t>
  </si>
  <si>
    <t>Журжий Даниил</t>
  </si>
  <si>
    <t>1. Журжий Даниил</t>
  </si>
  <si>
    <t>Юноши 18 - 19 (28.12.1999)/18</t>
  </si>
  <si>
    <t>95,00</t>
  </si>
  <si>
    <t>Свиридов Михаил</t>
  </si>
  <si>
    <t>1. Свиридов Михаил</t>
  </si>
  <si>
    <t>Юниоры 20 - 23 (15.07.1995)/23</t>
  </si>
  <si>
    <t>92,10</t>
  </si>
  <si>
    <t>Литвиненко Андрей</t>
  </si>
  <si>
    <t>1. Литвиненко Андрей</t>
  </si>
  <si>
    <t>Открытая (31.01.1988)/30</t>
  </si>
  <si>
    <t>100,00</t>
  </si>
  <si>
    <t xml:space="preserve">Прокопьевск/Кемеровская область </t>
  </si>
  <si>
    <t>Коваль Владислав</t>
  </si>
  <si>
    <t>2. Коваль Владислав</t>
  </si>
  <si>
    <t>Открытая (17.05.1994)/24</t>
  </si>
  <si>
    <t>98,50</t>
  </si>
  <si>
    <t>96,00</t>
  </si>
  <si>
    <t>175,0</t>
  </si>
  <si>
    <t>ВЕСОВАЯ КАТЕГОРИЯ   110</t>
  </si>
  <si>
    <t>Баранов Владимир</t>
  </si>
  <si>
    <t>1. Баранов Владимир</t>
  </si>
  <si>
    <t>Открытая (21.06.1984)/34</t>
  </si>
  <si>
    <t>102,40</t>
  </si>
  <si>
    <t>167,5</t>
  </si>
  <si>
    <t>225,0</t>
  </si>
  <si>
    <t>237,5</t>
  </si>
  <si>
    <t>Брютов Ярослав</t>
  </si>
  <si>
    <t>2. Брютов Ярослав</t>
  </si>
  <si>
    <t>Открытая (17.11.1986)/31</t>
  </si>
  <si>
    <t>104,70</t>
  </si>
  <si>
    <t xml:space="preserve">Барнаул/Алтайский край </t>
  </si>
  <si>
    <t xml:space="preserve">Женщины </t>
  </si>
  <si>
    <t xml:space="preserve">Девушки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</si>
  <si>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</si>
  <si>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</si>
  <si>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</si>
  <si>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</si>
  <si>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</si>
  <si>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16 - 17 </t>
  </si>
  <si>
    <t>236,1442</t>
  </si>
  <si>
    <t xml:space="preserve">Юноши 18 - 19 </t>
  </si>
  <si>
    <t>44,0</t>
  </si>
  <si>
    <t>199,6394</t>
  </si>
  <si>
    <t xml:space="preserve">Открытая </t>
  </si>
  <si>
    <t>439,5</t>
  </si>
  <si>
    <t>363,1589</t>
  </si>
  <si>
    <t>52,0</t>
  </si>
  <si>
    <t>248,3750</t>
  </si>
  <si>
    <t>310,0</t>
  </si>
  <si>
    <t>241,4125</t>
  </si>
  <si>
    <t>211,9560</t>
  </si>
  <si>
    <t>82,5</t>
  </si>
  <si>
    <t>305,0</t>
  </si>
  <si>
    <t>206,6985</t>
  </si>
  <si>
    <t>187,0</t>
  </si>
  <si>
    <t>183,8678</t>
  </si>
  <si>
    <t>56,0</t>
  </si>
  <si>
    <t>177,9180</t>
  </si>
  <si>
    <t>171,6667</t>
  </si>
  <si>
    <t xml:space="preserve">Мужчины </t>
  </si>
  <si>
    <t xml:space="preserve">Юноши </t>
  </si>
  <si>
    <t xml:space="preserve">Юноши 14 - 15 </t>
  </si>
  <si>
    <t>319,0</t>
  </si>
  <si>
    <t>314,6415</t>
  </si>
  <si>
    <t>507,5</t>
  </si>
  <si>
    <t>305,4480</t>
  </si>
  <si>
    <t>307,5</t>
  </si>
  <si>
    <t>267,7642</t>
  </si>
  <si>
    <t xml:space="preserve">Юниоры </t>
  </si>
  <si>
    <t xml:space="preserve">Юниоры 20 - 23 </t>
  </si>
  <si>
    <t>510,0</t>
  </si>
  <si>
    <t>328,6624</t>
  </si>
  <si>
    <t>400,0</t>
  </si>
  <si>
    <t>231,0000</t>
  </si>
  <si>
    <t>622,0</t>
  </si>
  <si>
    <t>385,5156</t>
  </si>
  <si>
    <t>355,5200</t>
  </si>
  <si>
    <t>560,0</t>
  </si>
  <si>
    <t>350,0560</t>
  </si>
  <si>
    <t>490,0</t>
  </si>
  <si>
    <t>340,3986</t>
  </si>
  <si>
    <t>532,5</t>
  </si>
  <si>
    <t>331,4280</t>
  </si>
  <si>
    <t>595,0</t>
  </si>
  <si>
    <t>329,6300</t>
  </si>
  <si>
    <t>590,0</t>
  </si>
  <si>
    <t>323,7330</t>
  </si>
  <si>
    <t>580,0</t>
  </si>
  <si>
    <t>315,6940</t>
  </si>
  <si>
    <t>435,0</t>
  </si>
  <si>
    <t>297,0180</t>
  </si>
  <si>
    <t>470,0</t>
  </si>
  <si>
    <t>262,1660</t>
  </si>
  <si>
    <t xml:space="preserve">Мастера </t>
  </si>
  <si>
    <t xml:space="preserve">Мастера 50 - 54 </t>
  </si>
  <si>
    <t>360,0</t>
  </si>
  <si>
    <t>365,0850</t>
  </si>
  <si>
    <t>Куриллов Евгений</t>
  </si>
  <si>
    <t>1. Куриллов Евгений</t>
  </si>
  <si>
    <t>Открытая (07.05.1981)/37</t>
  </si>
  <si>
    <t>82,30</t>
  </si>
  <si>
    <t xml:space="preserve">Новокузнецк/Кемеровская область </t>
  </si>
  <si>
    <t>137,5</t>
  </si>
  <si>
    <t>147,5</t>
  </si>
  <si>
    <t>Иванов Максим</t>
  </si>
  <si>
    <t>1. Иванов Максим</t>
  </si>
  <si>
    <t>Открытая (16.06.1989)/29</t>
  </si>
  <si>
    <t xml:space="preserve">Красноярск/Красноярский край </t>
  </si>
  <si>
    <t>157,5</t>
  </si>
  <si>
    <t>245,0</t>
  </si>
  <si>
    <t>Кохась Петр</t>
  </si>
  <si>
    <t>2. Кохась Петр</t>
  </si>
  <si>
    <t>Открытая (18.04.1990)/28</t>
  </si>
  <si>
    <t>227,5</t>
  </si>
  <si>
    <t>Долгов Кирилл</t>
  </si>
  <si>
    <t>3. Долгов Кирилл</t>
  </si>
  <si>
    <t>Открытая (08.07.1987)/31</t>
  </si>
  <si>
    <t>86,70</t>
  </si>
  <si>
    <t>162,5</t>
  </si>
  <si>
    <t>Багаев Александр</t>
  </si>
  <si>
    <t>1. Багаев Александр</t>
  </si>
  <si>
    <t>Открытая (04.04.1986)/32</t>
  </si>
  <si>
    <t>99,80</t>
  </si>
  <si>
    <t>202,5</t>
  </si>
  <si>
    <t>232,5</t>
  </si>
  <si>
    <t>Поткин Артем</t>
  </si>
  <si>
    <t>2. Поткин Артем</t>
  </si>
  <si>
    <t>Открытая (21.04.1994)/24</t>
  </si>
  <si>
    <t>98,10</t>
  </si>
  <si>
    <t xml:space="preserve">Киселёвск/Кемеровская область </t>
  </si>
  <si>
    <t>255,0</t>
  </si>
  <si>
    <t>Зеленко Игорь</t>
  </si>
  <si>
    <t>3. Зеленко Игорь</t>
  </si>
  <si>
    <t>Открытая (03.06.1972)/46</t>
  </si>
  <si>
    <t>97,40</t>
  </si>
  <si>
    <t>Бачин Артем</t>
  </si>
  <si>
    <t>1. Бачин Артем</t>
  </si>
  <si>
    <t>Открытая (07.10.1982)/36</t>
  </si>
  <si>
    <t>109,50</t>
  </si>
  <si>
    <t>252,5</t>
  </si>
  <si>
    <t>705,0</t>
  </si>
  <si>
    <t>378,6555</t>
  </si>
  <si>
    <t>615,0</t>
  </si>
  <si>
    <t>359,9595</t>
  </si>
  <si>
    <t>642,5</t>
  </si>
  <si>
    <t>356,2662</t>
  </si>
  <si>
    <t>602,5</t>
  </si>
  <si>
    <t>353,6072</t>
  </si>
  <si>
    <t>622,5</t>
  </si>
  <si>
    <t>347,9152</t>
  </si>
  <si>
    <t>525,0</t>
  </si>
  <si>
    <t>325,6575</t>
  </si>
  <si>
    <t>565,0</t>
  </si>
  <si>
    <t>316,8520</t>
  </si>
  <si>
    <t>407,5</t>
  </si>
  <si>
    <t>244,1332</t>
  </si>
  <si>
    <t>Портнов Юрий</t>
  </si>
  <si>
    <t>1. Портнов Юрий</t>
  </si>
  <si>
    <t>Открытая (22.12.1983)/34</t>
  </si>
  <si>
    <t>99,50</t>
  </si>
  <si>
    <t>605,0</t>
  </si>
  <si>
    <t>335,9565</t>
  </si>
  <si>
    <t>Результат</t>
  </si>
  <si>
    <t>Бабич Павел</t>
  </si>
  <si>
    <t>1. Бабич Павел</t>
  </si>
  <si>
    <t>Открытая (09.08.1984)/34</t>
  </si>
  <si>
    <t>104,80</t>
  </si>
  <si>
    <t>111,5405</t>
  </si>
  <si>
    <t>Кубок Сибири
ПРО жим лежа в однослойной экипировке
Кемерово/Кемеровская область октября 2018 г.</t>
  </si>
  <si>
    <t>Плешков Константин</t>
  </si>
  <si>
    <t>1. Плешков Константин</t>
  </si>
  <si>
    <t>Открытая (23.02.1974)/44</t>
  </si>
  <si>
    <t>222,5</t>
  </si>
  <si>
    <t>Мастера 40 - 44 (23.02.1974)/44</t>
  </si>
  <si>
    <t>118,6080</t>
  </si>
  <si>
    <t xml:space="preserve">Мастера 40 - 44 </t>
  </si>
  <si>
    <t>122,2849</t>
  </si>
  <si>
    <t>ВЕСОВАЯ КАТЕГОРИЯ   48</t>
  </si>
  <si>
    <t>Герасева Олеся</t>
  </si>
  <si>
    <t>1. Герасева Олеся</t>
  </si>
  <si>
    <t>Девушки 16 - 17 (21.09.2001)/17</t>
  </si>
  <si>
    <t>47,90</t>
  </si>
  <si>
    <t xml:space="preserve">Плешков К. </t>
  </si>
  <si>
    <t>Соколова Оксана</t>
  </si>
  <si>
    <t>1. Соколова Оксана</t>
  </si>
  <si>
    <t>Открытая (21.06.1985)/33</t>
  </si>
  <si>
    <t>59,70</t>
  </si>
  <si>
    <t>37,5</t>
  </si>
  <si>
    <t>42,5</t>
  </si>
  <si>
    <t xml:space="preserve">Кочубей Р. </t>
  </si>
  <si>
    <t>Колесникова Анна</t>
  </si>
  <si>
    <t>1. Колесникова Анна</t>
  </si>
  <si>
    <t>Юниорки 20 - 23 (03.03.1998)/20</t>
  </si>
  <si>
    <t>65,70</t>
  </si>
  <si>
    <t>77,5</t>
  </si>
  <si>
    <t>92,5</t>
  </si>
  <si>
    <t xml:space="preserve">Сынков В. </t>
  </si>
  <si>
    <t>Барабанова Ирина</t>
  </si>
  <si>
    <t>1. Барабанова Ирина</t>
  </si>
  <si>
    <t>Открытая (17.05.1993)/25</t>
  </si>
  <si>
    <t>63,60</t>
  </si>
  <si>
    <t>Трубченко Тимофей</t>
  </si>
  <si>
    <t>1. Трубченко Тимофей</t>
  </si>
  <si>
    <t>Юноши 14 - 15 (30.03.2008)/10</t>
  </si>
  <si>
    <t>44,00</t>
  </si>
  <si>
    <t>27,5</t>
  </si>
  <si>
    <t>Шабалин Петр</t>
  </si>
  <si>
    <t>1. Шабалин Петр</t>
  </si>
  <si>
    <t>Юноши 14 - 15 (05.04.2003)/15</t>
  </si>
  <si>
    <t>63,20</t>
  </si>
  <si>
    <t>Куклин Евгений</t>
  </si>
  <si>
    <t>1. Куклин Евгений</t>
  </si>
  <si>
    <t>Открытая (16.12.1981)/36</t>
  </si>
  <si>
    <t>67,35</t>
  </si>
  <si>
    <t xml:space="preserve">Нечаев М. </t>
  </si>
  <si>
    <t>Дербилов Константин</t>
  </si>
  <si>
    <t>2. Дербилов Константин</t>
  </si>
  <si>
    <t>Открытая (07.11.1992)/25</t>
  </si>
  <si>
    <t>67,40</t>
  </si>
  <si>
    <t>102,5</t>
  </si>
  <si>
    <t>Данилов Денис</t>
  </si>
  <si>
    <t>1. Данилов Денис</t>
  </si>
  <si>
    <t>Юноши 18 - 19 (13.08.1999)/19</t>
  </si>
  <si>
    <t>73,00</t>
  </si>
  <si>
    <t xml:space="preserve">Рельеф (Норд-Вест) </t>
  </si>
  <si>
    <t>107,5</t>
  </si>
  <si>
    <t xml:space="preserve">Минеев Н. </t>
  </si>
  <si>
    <t>Куклин Денис</t>
  </si>
  <si>
    <t>1. Куклин Денис</t>
  </si>
  <si>
    <t>Открытая (06.09.1989)/29</t>
  </si>
  <si>
    <t>73,50</t>
  </si>
  <si>
    <t>127,5</t>
  </si>
  <si>
    <t>Красиков Роман</t>
  </si>
  <si>
    <t>2. Красиков Роман</t>
  </si>
  <si>
    <t>Открытая (30.09.1992)/26</t>
  </si>
  <si>
    <t>73,10</t>
  </si>
  <si>
    <t>3. Карпов Михаил</t>
  </si>
  <si>
    <t>Артемов Дмитрий</t>
  </si>
  <si>
    <t>1. Артемов Дмитрий</t>
  </si>
  <si>
    <t>Мастера 40 - 44 (14.10.1975)/42</t>
  </si>
  <si>
    <t>74,90</t>
  </si>
  <si>
    <t xml:space="preserve">Тюленев А.С, </t>
  </si>
  <si>
    <t>-. Ермаков Валерий</t>
  </si>
  <si>
    <t>Юноши 14 - 15 (12.05.2003)/15</t>
  </si>
  <si>
    <t>78,80</t>
  </si>
  <si>
    <t xml:space="preserve">Суховольский А. </t>
  </si>
  <si>
    <t>Нагайцев Сергей</t>
  </si>
  <si>
    <t>1. Нагайцев Сергей</t>
  </si>
  <si>
    <t>Открытая (26.09.1983)/35</t>
  </si>
  <si>
    <t>81,60</t>
  </si>
  <si>
    <t xml:space="preserve">Вайнс </t>
  </si>
  <si>
    <t>152,5</t>
  </si>
  <si>
    <t>Макеев Вадим</t>
  </si>
  <si>
    <t>2. Макеев Вадим</t>
  </si>
  <si>
    <t>Открытая (10.12.1993)/24</t>
  </si>
  <si>
    <t>79,30</t>
  </si>
  <si>
    <t>Митин Антон</t>
  </si>
  <si>
    <t>3. Митин Антон</t>
  </si>
  <si>
    <t>Открытая (02.11.1985)/32</t>
  </si>
  <si>
    <t>80,50</t>
  </si>
  <si>
    <t xml:space="preserve">Тотмянин-Вайнс </t>
  </si>
  <si>
    <t>1. Желонкин Игорь</t>
  </si>
  <si>
    <t>89,80</t>
  </si>
  <si>
    <t>Устяхин Егор</t>
  </si>
  <si>
    <t>2. Устяхин Егор</t>
  </si>
  <si>
    <t>Юниоры 20 - 23 (14.11.1994)/23</t>
  </si>
  <si>
    <t>88,00</t>
  </si>
  <si>
    <t>1. Романович Денис</t>
  </si>
  <si>
    <t>Ханагян Эдвард</t>
  </si>
  <si>
    <t>2. Ханагян Эдвард</t>
  </si>
  <si>
    <t>Открытая (22.05.1989)/29</t>
  </si>
  <si>
    <t>87,50</t>
  </si>
  <si>
    <t>Коробков Иван</t>
  </si>
  <si>
    <t>3. Коробков Иван</t>
  </si>
  <si>
    <t>Открытая (12.05.1993)/25</t>
  </si>
  <si>
    <t>88,40</t>
  </si>
  <si>
    <t xml:space="preserve">Гаврилов Д. </t>
  </si>
  <si>
    <t>Шишкин Евгений</t>
  </si>
  <si>
    <t>1. Шишкин Евгений</t>
  </si>
  <si>
    <t>Мастера 40 - 44 (17.04.1976)/42</t>
  </si>
  <si>
    <t>89,70</t>
  </si>
  <si>
    <t>Лобастов Алексей</t>
  </si>
  <si>
    <t>2. Лобастов Алексей</t>
  </si>
  <si>
    <t>Мастера 40 - 44 (23.09.1974)/44</t>
  </si>
  <si>
    <t>Пономарев Александр</t>
  </si>
  <si>
    <t>3. Пономарев Александр</t>
  </si>
  <si>
    <t>Мастера 40 - 44 (14.11.1976)/41</t>
  </si>
  <si>
    <t>89,50</t>
  </si>
  <si>
    <t>Гоженко Михаил</t>
  </si>
  <si>
    <t>1. Гоженко Михаил</t>
  </si>
  <si>
    <t>Открытая (03.11.1990)/27</t>
  </si>
  <si>
    <t>93,40</t>
  </si>
  <si>
    <t>Черныш Михаил</t>
  </si>
  <si>
    <t>2. Черныш Михаил</t>
  </si>
  <si>
    <t>Открытая (20.01.1987)/31</t>
  </si>
  <si>
    <t>Никонов Владимир</t>
  </si>
  <si>
    <t>1. Никонов Владимир</t>
  </si>
  <si>
    <t>Открытая (03.10.1988)/30</t>
  </si>
  <si>
    <t>105,00</t>
  </si>
  <si>
    <t>Волков Иван</t>
  </si>
  <si>
    <t>2. Волков Иван</t>
  </si>
  <si>
    <t>Открытая (12.03.1988)/30</t>
  </si>
  <si>
    <t>108,30</t>
  </si>
  <si>
    <t>3. Брютов Ярослав</t>
  </si>
  <si>
    <t>Заречнев Артем</t>
  </si>
  <si>
    <t>4. Заречнев Артем</t>
  </si>
  <si>
    <t>Открытая (02.07.1991)/27</t>
  </si>
  <si>
    <t>103,50</t>
  </si>
  <si>
    <t>48,0</t>
  </si>
  <si>
    <t>58,1902</t>
  </si>
  <si>
    <t xml:space="preserve">Юниорки </t>
  </si>
  <si>
    <t>69,8124</t>
  </si>
  <si>
    <t>49,1820</t>
  </si>
  <si>
    <t>47,4390</t>
  </si>
  <si>
    <t>36,7476</t>
  </si>
  <si>
    <t>74,1359</t>
  </si>
  <si>
    <t>59,1894</t>
  </si>
  <si>
    <t>43,0143</t>
  </si>
  <si>
    <t>84,5156</t>
  </si>
  <si>
    <t>59,3500</t>
  </si>
  <si>
    <t>111,2070</t>
  </si>
  <si>
    <t>98,2958</t>
  </si>
  <si>
    <t>95,1475</t>
  </si>
  <si>
    <t>94,5280</t>
  </si>
  <si>
    <t>93,9575</t>
  </si>
  <si>
    <t>93,3240</t>
  </si>
  <si>
    <t>93,2525</t>
  </si>
  <si>
    <t>92,3180</t>
  </si>
  <si>
    <t>90,2475</t>
  </si>
  <si>
    <t>90,2155</t>
  </si>
  <si>
    <t>88,7640</t>
  </si>
  <si>
    <t>87,0880</t>
  </si>
  <si>
    <t>86,6388</t>
  </si>
  <si>
    <t>86,0738</t>
  </si>
  <si>
    <t>85,4577</t>
  </si>
  <si>
    <t>79,8930</t>
  </si>
  <si>
    <t>74,4970</t>
  </si>
  <si>
    <t>69,3125</t>
  </si>
  <si>
    <t>94,6846</t>
  </si>
  <si>
    <t>93,9662</t>
  </si>
  <si>
    <t>91,7848</t>
  </si>
  <si>
    <t>86,8866</t>
  </si>
  <si>
    <t>Багирова Эльнара</t>
  </si>
  <si>
    <t>1. Багирова Эльнара</t>
  </si>
  <si>
    <t>Открытая (27.05.1988)/30</t>
  </si>
  <si>
    <t>55,40</t>
  </si>
  <si>
    <t>Сиков Роман</t>
  </si>
  <si>
    <t>1. Сиков Роман</t>
  </si>
  <si>
    <t>Юноши 14 - 15 (04.10.2004)/14</t>
  </si>
  <si>
    <t>60,60</t>
  </si>
  <si>
    <t xml:space="preserve">Зубан Я. </t>
  </si>
  <si>
    <t>Нижегородов Михаил</t>
  </si>
  <si>
    <t>1. Нижегородов Михаил</t>
  </si>
  <si>
    <t>Юниоры 20 - 23 (23.03.1997)/21</t>
  </si>
  <si>
    <t xml:space="preserve">Верхотуров А. </t>
  </si>
  <si>
    <t>Масленников Ярослав</t>
  </si>
  <si>
    <t>1. Масленников Ярослав</t>
  </si>
  <si>
    <t>Юноши 14 - 15 (16.06.2005)/13</t>
  </si>
  <si>
    <t>67,60</t>
  </si>
  <si>
    <t>Симоненко Егор</t>
  </si>
  <si>
    <t>1. Симоненко Егор</t>
  </si>
  <si>
    <t>Открытая (03.02.1990)/28</t>
  </si>
  <si>
    <t>82,20</t>
  </si>
  <si>
    <t>122,5</t>
  </si>
  <si>
    <t>Костюрин Павел</t>
  </si>
  <si>
    <t>-. Костюрин Павел</t>
  </si>
  <si>
    <t>Открытая (29.12.1989)/28</t>
  </si>
  <si>
    <t xml:space="preserve">Самойлов В. </t>
  </si>
  <si>
    <t>Безматерных Артем</t>
  </si>
  <si>
    <t>1. Безматерных Артем</t>
  </si>
  <si>
    <t>Открытая (04.11.1985)/32</t>
  </si>
  <si>
    <t xml:space="preserve">Ачинск/Красноярский край </t>
  </si>
  <si>
    <t>Матюнин Анатолий</t>
  </si>
  <si>
    <t>2. Матюнин Анатолий</t>
  </si>
  <si>
    <t>Открытая (23.07.1986)/32</t>
  </si>
  <si>
    <t>96,50</t>
  </si>
  <si>
    <t>Головинский Эдуард</t>
  </si>
  <si>
    <t>1. Головинский Эдуард</t>
  </si>
  <si>
    <t>Мастера 50 - 54 (25.06.1968)/50</t>
  </si>
  <si>
    <t>Сынков Василий</t>
  </si>
  <si>
    <t>1. Сынков Василий</t>
  </si>
  <si>
    <t>Открытая (09.07.1972)/46</t>
  </si>
  <si>
    <t>105,60</t>
  </si>
  <si>
    <t>Самойлов Владимир</t>
  </si>
  <si>
    <t>2. Самойлов Владимир</t>
  </si>
  <si>
    <t>Открытая (09.05.1991)/27</t>
  </si>
  <si>
    <t>207,5</t>
  </si>
  <si>
    <t xml:space="preserve">Терехин А. </t>
  </si>
  <si>
    <t>Чувичкин Максим</t>
  </si>
  <si>
    <t>3. Чувичкин Максим</t>
  </si>
  <si>
    <t>Открытая (12.11.1983)/34</t>
  </si>
  <si>
    <t>110,00</t>
  </si>
  <si>
    <t>Богатчук Павел</t>
  </si>
  <si>
    <t>4. Богатчук Павел</t>
  </si>
  <si>
    <t>Открытая (09.05.1983)/35</t>
  </si>
  <si>
    <t>105,50</t>
  </si>
  <si>
    <t>Неразик Артем</t>
  </si>
  <si>
    <t>5. Неразик Артем</t>
  </si>
  <si>
    <t>Открытая (19.02.1992)/26</t>
  </si>
  <si>
    <t>ВЕСОВАЯ КАТЕГОРИЯ   125</t>
  </si>
  <si>
    <t>Корыстин Дмитрий</t>
  </si>
  <si>
    <t>1. Корыстин Дмитрий</t>
  </si>
  <si>
    <t>Открытая (27.06.1979)/39</t>
  </si>
  <si>
    <t>125,00</t>
  </si>
  <si>
    <t>217,5</t>
  </si>
  <si>
    <t>Терехин Андрей</t>
  </si>
  <si>
    <t>1. Терехин Андрей</t>
  </si>
  <si>
    <t>Мастера 40 - 44 (22.10.1973)/44</t>
  </si>
  <si>
    <t>116,70</t>
  </si>
  <si>
    <t>ВЕСОВАЯ КАТЕГОРИЯ   140</t>
  </si>
  <si>
    <t>Скударнов Александр</t>
  </si>
  <si>
    <t>1. Скударнов Александр</t>
  </si>
  <si>
    <t>Открытая (05.05.1986)/32</t>
  </si>
  <si>
    <t>138,00</t>
  </si>
  <si>
    <t>172,2</t>
  </si>
  <si>
    <t>41,4045</t>
  </si>
  <si>
    <t>56,9053</t>
  </si>
  <si>
    <t>49,0395</t>
  </si>
  <si>
    <t>55,0994</t>
  </si>
  <si>
    <t>116,6805</t>
  </si>
  <si>
    <t>113,3175</t>
  </si>
  <si>
    <t>111,4483</t>
  </si>
  <si>
    <t>108,6412</t>
  </si>
  <si>
    <t>100,4365</t>
  </si>
  <si>
    <t>89,2480</t>
  </si>
  <si>
    <t>87,0815</t>
  </si>
  <si>
    <t>84,4950</t>
  </si>
  <si>
    <t>76,0602</t>
  </si>
  <si>
    <t>48,2850</t>
  </si>
  <si>
    <t>118,4073</t>
  </si>
  <si>
    <t>81,9490</t>
  </si>
  <si>
    <t>Гаврилова Ксения</t>
  </si>
  <si>
    <t>1. Гаврилова Ксения</t>
  </si>
  <si>
    <t>Девушки 18 - 19 (09.09.2000)/18</t>
  </si>
  <si>
    <t>65,50</t>
  </si>
  <si>
    <t xml:space="preserve">Хоронжак И. </t>
  </si>
  <si>
    <t>1. Дербилов Константин</t>
  </si>
  <si>
    <t>2. Куклин Евгений</t>
  </si>
  <si>
    <t>Иванов Кирилл</t>
  </si>
  <si>
    <t>3. Иванов Кирилл</t>
  </si>
  <si>
    <t>Открытая (21.02.1985)/33</t>
  </si>
  <si>
    <t>66,80</t>
  </si>
  <si>
    <t xml:space="preserve">Ермолин М. </t>
  </si>
  <si>
    <t>Николовский Павел</t>
  </si>
  <si>
    <t>1. Николовский Павел</t>
  </si>
  <si>
    <t>Открытая (08.05.1978)/40</t>
  </si>
  <si>
    <t>72,60</t>
  </si>
  <si>
    <t>Мостовой Андрей</t>
  </si>
  <si>
    <t>2. Мостовой Андрей</t>
  </si>
  <si>
    <t>Открытая (25.05.1988)/30</t>
  </si>
  <si>
    <t>74,60</t>
  </si>
  <si>
    <t>3. Куклин Денис</t>
  </si>
  <si>
    <t>Стрельцов Константин</t>
  </si>
  <si>
    <t>4. Стрельцов Константин</t>
  </si>
  <si>
    <t>Открытая (27.07.1982)/36</t>
  </si>
  <si>
    <t>72,30</t>
  </si>
  <si>
    <t xml:space="preserve">Черногорск/Хакасия </t>
  </si>
  <si>
    <t>Иванов Дмитрий</t>
  </si>
  <si>
    <t>1. Иванов Дмитрий</t>
  </si>
  <si>
    <t>Юноши 16 - 17 (21.11.2000)/17</t>
  </si>
  <si>
    <t>82,10</t>
  </si>
  <si>
    <t xml:space="preserve">Рубцовск/Алтайский край </t>
  </si>
  <si>
    <t>Мазуров Руслан</t>
  </si>
  <si>
    <t>1. Мазуров Руслан</t>
  </si>
  <si>
    <t>Открытая (06.09.1981)/37</t>
  </si>
  <si>
    <t>82,50</t>
  </si>
  <si>
    <t>1. Пономарев Александр</t>
  </si>
  <si>
    <t>Открытая (14.11.1976)/41</t>
  </si>
  <si>
    <t>89,40</t>
  </si>
  <si>
    <t>Ермолин Максим</t>
  </si>
  <si>
    <t>2. Ермолин Максим</t>
  </si>
  <si>
    <t>Открытая (11.07.1992)/26</t>
  </si>
  <si>
    <t>Мусин Федор</t>
  </si>
  <si>
    <t>1. Мусин Федор</t>
  </si>
  <si>
    <t>Открытая (15.05.1992)/26</t>
  </si>
  <si>
    <t>Молчан Николай</t>
  </si>
  <si>
    <t>1. Молчан Николай</t>
  </si>
  <si>
    <t>Открытая (24.01.1984)/34</t>
  </si>
  <si>
    <t>118,80</t>
  </si>
  <si>
    <t>99,5777</t>
  </si>
  <si>
    <t>97,3112</t>
  </si>
  <si>
    <t>150,0400</t>
  </si>
  <si>
    <t>126,7870</t>
  </si>
  <si>
    <t>126,3555</t>
  </si>
  <si>
    <t>120,7635</t>
  </si>
  <si>
    <t>120,2325</t>
  </si>
  <si>
    <t>118,1600</t>
  </si>
  <si>
    <t>118,0418</t>
  </si>
  <si>
    <t>112,6540</t>
  </si>
  <si>
    <t>102,9795</t>
  </si>
  <si>
    <t>101,8220</t>
  </si>
  <si>
    <t>99,7200</t>
  </si>
  <si>
    <t>91,5875</t>
  </si>
  <si>
    <t>126,7346</t>
  </si>
  <si>
    <t>Верхотуров Алексей</t>
  </si>
  <si>
    <t>1. Верхотуров Алексей</t>
  </si>
  <si>
    <t>Открытая (30.03.1983)/35</t>
  </si>
  <si>
    <t>86,00</t>
  </si>
  <si>
    <t>Яковлев Александр</t>
  </si>
  <si>
    <t>2. Яковлев Александр</t>
  </si>
  <si>
    <t>Открытая (21.06.1983)/35</t>
  </si>
  <si>
    <t>3. Костюрин Павел</t>
  </si>
  <si>
    <t>1. Самойлов Владимир</t>
  </si>
  <si>
    <t>300,0</t>
  </si>
  <si>
    <t>320,0</t>
  </si>
  <si>
    <t>340,0</t>
  </si>
  <si>
    <t>Мастера 45 - 49 (09.07.1972)/46</t>
  </si>
  <si>
    <t>375,0</t>
  </si>
  <si>
    <t>380,0</t>
  </si>
  <si>
    <t>Ельшин Константин</t>
  </si>
  <si>
    <t>1. Ельшин Константин</t>
  </si>
  <si>
    <t>Открытая (19.07.1986)/32</t>
  </si>
  <si>
    <t>115,00</t>
  </si>
  <si>
    <t>335,0</t>
  </si>
  <si>
    <t>350,0</t>
  </si>
  <si>
    <t>Присяжнюк Виктор</t>
  </si>
  <si>
    <t>1. Присяжнюк Виктор</t>
  </si>
  <si>
    <t>Мастера 40 - 44 (15.03.1976)/42</t>
  </si>
  <si>
    <t>111,80</t>
  </si>
  <si>
    <t>270,0</t>
  </si>
  <si>
    <t>285,0</t>
  </si>
  <si>
    <t>2. Терехин Андрей</t>
  </si>
  <si>
    <t>265,0</t>
  </si>
  <si>
    <t>280,0</t>
  </si>
  <si>
    <t>185,9900</t>
  </si>
  <si>
    <t>182,6140</t>
  </si>
  <si>
    <t>153,5610</t>
  </si>
  <si>
    <t>140,7600</t>
  </si>
  <si>
    <t>134,0105</t>
  </si>
  <si>
    <t>134,0100</t>
  </si>
  <si>
    <t>99,3440</t>
  </si>
  <si>
    <t xml:space="preserve">Мастера 45 - 49 </t>
  </si>
  <si>
    <t>220,4556</t>
  </si>
  <si>
    <t>161,7932</t>
  </si>
  <si>
    <t>133,8501</t>
  </si>
  <si>
    <t>Дошицына Анастасия</t>
  </si>
  <si>
    <t>2. Дошицына Анастасия</t>
  </si>
  <si>
    <t>Открытая (20.06.1990)/28</t>
  </si>
  <si>
    <t>50,10</t>
  </si>
  <si>
    <t>Капралов Александр</t>
  </si>
  <si>
    <t>1. Капралов Александр</t>
  </si>
  <si>
    <t>Открытая (31.01.1992)/26</t>
  </si>
  <si>
    <t>192,5</t>
  </si>
  <si>
    <t>Тихонов Владимир</t>
  </si>
  <si>
    <t>1. Тихонов Владимир</t>
  </si>
  <si>
    <t>Открытая (12.12.1991)/26</t>
  </si>
  <si>
    <t>72,40</t>
  </si>
  <si>
    <t>2. Костенко Андрей</t>
  </si>
  <si>
    <t>Курининов Семен</t>
  </si>
  <si>
    <t>3. Курининов Семен</t>
  </si>
  <si>
    <t>Открытая (29.06.1990)/28</t>
  </si>
  <si>
    <t>Семенов Данил</t>
  </si>
  <si>
    <t>1. Семенов Данил</t>
  </si>
  <si>
    <t>Юноши 18 - 19 (16.02.2000)/18</t>
  </si>
  <si>
    <t>79,50</t>
  </si>
  <si>
    <t>1. Полосин Сергей</t>
  </si>
  <si>
    <t>79,20</t>
  </si>
  <si>
    <t>217,0</t>
  </si>
  <si>
    <t>Каменев Владимир</t>
  </si>
  <si>
    <t>1. Каменев Владимир</t>
  </si>
  <si>
    <t>Мастера 65 - 69 (23.06.1952)/66</t>
  </si>
  <si>
    <t>80,90</t>
  </si>
  <si>
    <t xml:space="preserve">Топки/Кемеровская область </t>
  </si>
  <si>
    <t>Нестеров Иван</t>
  </si>
  <si>
    <t>1. Нестеров Иван</t>
  </si>
  <si>
    <t>Юниоры 20 - 23 (23.10.1994)/23</t>
  </si>
  <si>
    <t>Хоронжак Иван</t>
  </si>
  <si>
    <t>1. Хоронжак Иван</t>
  </si>
  <si>
    <t>Открытая (25.04.1982)/36</t>
  </si>
  <si>
    <t>257,5</t>
  </si>
  <si>
    <t>Личный Александр</t>
  </si>
  <si>
    <t>1. Личный Александр</t>
  </si>
  <si>
    <t>Мастера 40 - 44 (10.06.1977)/41</t>
  </si>
  <si>
    <t>85,70</t>
  </si>
  <si>
    <t>Савельев Виктор</t>
  </si>
  <si>
    <t>2. Савельев Виктор</t>
  </si>
  <si>
    <t>Открытая (09.03.1993)/25</t>
  </si>
  <si>
    <t>97,60</t>
  </si>
  <si>
    <t xml:space="preserve">Костегин А. </t>
  </si>
  <si>
    <t xml:space="preserve">Номоконов </t>
  </si>
  <si>
    <t xml:space="preserve">1. Номоконов </t>
  </si>
  <si>
    <t>Юноши 18 - 19 (25.10.1998)/19</t>
  </si>
  <si>
    <t>Аверин Николай</t>
  </si>
  <si>
    <t>1. Аверин Николай</t>
  </si>
  <si>
    <t>Открытая (09.03.1980)/38</t>
  </si>
  <si>
    <t>104,00</t>
  </si>
  <si>
    <t>Шагвалев Олег</t>
  </si>
  <si>
    <t>1. Шагвалев Олег</t>
  </si>
  <si>
    <t>Мастера 40 - 44 (15.08.1977)/41</t>
  </si>
  <si>
    <t>242,5</t>
  </si>
  <si>
    <t>Шевелев Илья</t>
  </si>
  <si>
    <t>1. Шевелев Илья</t>
  </si>
  <si>
    <t>Юниоры 20 - 23 (02.08.1997)/21</t>
  </si>
  <si>
    <t>121,00</t>
  </si>
  <si>
    <t>99,3500</t>
  </si>
  <si>
    <t>98,2665</t>
  </si>
  <si>
    <t>97,1465</t>
  </si>
  <si>
    <t>94,9240</t>
  </si>
  <si>
    <t>121,3106</t>
  </si>
  <si>
    <t>118,8751</t>
  </si>
  <si>
    <t>107,3779</t>
  </si>
  <si>
    <t>134,1300</t>
  </si>
  <si>
    <t>118,3600</t>
  </si>
  <si>
    <t>156,2750</t>
  </si>
  <si>
    <t>146,9525</t>
  </si>
  <si>
    <t>143,4600</t>
  </si>
  <si>
    <t>142,4117</t>
  </si>
  <si>
    <t>138,0100</t>
  </si>
  <si>
    <t>123,0620</t>
  </si>
  <si>
    <t>120,0100</t>
  </si>
  <si>
    <t>119,3895</t>
  </si>
  <si>
    <t>112,0400</t>
  </si>
  <si>
    <t xml:space="preserve">Мастера 65 - 69 </t>
  </si>
  <si>
    <t>160,8052</t>
  </si>
  <si>
    <t>136,2174</t>
  </si>
  <si>
    <t>130,6375</t>
  </si>
  <si>
    <t>Стяжкин Никита</t>
  </si>
  <si>
    <t>1. Стяжкин Никита</t>
  </si>
  <si>
    <t>Открытая (17.06.1999)/19</t>
  </si>
  <si>
    <t>89,30</t>
  </si>
  <si>
    <t>Елагин Сергей</t>
  </si>
  <si>
    <t>2. Елагин Сергей</t>
  </si>
  <si>
    <t>Открытая (18.07.1974)/44</t>
  </si>
  <si>
    <t>88,20</t>
  </si>
  <si>
    <t xml:space="preserve">Голубков Г.П. </t>
  </si>
  <si>
    <t>Бызов Денис</t>
  </si>
  <si>
    <t>1. Бызов Денис</t>
  </si>
  <si>
    <t>Открытая (20.11.1987)/30</t>
  </si>
  <si>
    <t>104,40</t>
  </si>
  <si>
    <t xml:space="preserve">Краснобродский/Кемеровская область </t>
  </si>
  <si>
    <t>290,0</t>
  </si>
  <si>
    <t>Кочубей Роман</t>
  </si>
  <si>
    <t>2. Кочубей Роман</t>
  </si>
  <si>
    <t>Открытая (17.02.1994)/24</t>
  </si>
  <si>
    <t>108,90</t>
  </si>
  <si>
    <t>272,5</t>
  </si>
  <si>
    <t>Раскин Вадим</t>
  </si>
  <si>
    <t>1. Раскин Вадим</t>
  </si>
  <si>
    <t>Мастера 50 - 54 (05.02.1968)/50</t>
  </si>
  <si>
    <t>107,80</t>
  </si>
  <si>
    <t>Лановикин Андрей</t>
  </si>
  <si>
    <t>1. Лановикин Андрей</t>
  </si>
  <si>
    <t>Юноши 18 - 19 (29.08.1999)/19</t>
  </si>
  <si>
    <t>Козленко Леонид</t>
  </si>
  <si>
    <t>1. Козленко Леонид</t>
  </si>
  <si>
    <t>Открытая (10.02.1998)/20</t>
  </si>
  <si>
    <t>117,40</t>
  </si>
  <si>
    <t>127,3324</t>
  </si>
  <si>
    <t>78,7134</t>
  </si>
  <si>
    <t>158,7900</t>
  </si>
  <si>
    <t>152,9060</t>
  </si>
  <si>
    <t>147,0960</t>
  </si>
  <si>
    <t>142,5170</t>
  </si>
  <si>
    <t>139,2610</t>
  </si>
  <si>
    <t>154,9867</t>
  </si>
  <si>
    <t>-. Семенов Дмитрий</t>
  </si>
  <si>
    <t>Юноши 18 - 19 (29.01.2000)/18</t>
  </si>
  <si>
    <t>57,80</t>
  </si>
  <si>
    <t>60,9930</t>
  </si>
  <si>
    <t>88,6400</t>
  </si>
  <si>
    <t>150</t>
  </si>
  <si>
    <t>165</t>
  </si>
  <si>
    <t>180</t>
  </si>
  <si>
    <t>143,3825</t>
  </si>
  <si>
    <t>0,8500</t>
  </si>
  <si>
    <t>140,25</t>
  </si>
  <si>
    <t>56</t>
  </si>
  <si>
    <t>140,2500</t>
  </si>
  <si>
    <t>Кубок Сибири
ПРО жим лежа без экипировки
Кемерово/Кемеровская область 7 октября 2018 г.</t>
  </si>
  <si>
    <t>Кубок Сибири
Любители жим лежа в софт экипировке
Кемерово/Кемеровская область 7 октября 2018 г.</t>
  </si>
  <si>
    <t>Кубок Сибири
ПРО жим лежа в софт экипировке
Кемерово/Кемеровская область 7 октября 2018 г.</t>
  </si>
  <si>
    <t>Кубок Сибири
Любители становая тяга без экипировки
Кемерово/Кемеровская область 7 октября 2018 г.</t>
  </si>
  <si>
    <t>Кубок Сибири
ПРО становая тяга без экипировки
Кемерово/Кемеровская область 7 октября 2018 г.</t>
  </si>
  <si>
    <t>Кубок Сибири
Любители присед без экипировки
Кемерово/Кемеровская область 7 октября 2018 г.</t>
  </si>
  <si>
    <t>Кубок Сибири
ПРО присед без экипировки
Кемерово/Кемеровская область 7 октября 2018 г.</t>
  </si>
  <si>
    <t>Кубок Сибири
Любители жим лежа без экипировки
Кемерово/Кемеровская область7 октября 2018 г.</t>
  </si>
  <si>
    <t>Кубок Сибири
Любители пауэрлифтинг в софт экипировке
Кемерово/Кемеровская область 7 октября 2018 г.</t>
  </si>
  <si>
    <t>Тотмянин-Вайнс</t>
  </si>
  <si>
    <t>Кубок Сибири
Любители пауэрлифтинг без экипировки
Кемерово/Кемеровская область 7 октября 2018 г.</t>
  </si>
  <si>
    <t>Кубок Сибири
ПРО пауэрлифтинг без экипировки
Кемерово/Кемеровская область 7 октября 2018 г.</t>
  </si>
  <si>
    <t>Кубок Сибири
Любители жим лежа в однослойной экипировке
Кемерово/Кемеровская область 7 октября 2018 г.</t>
  </si>
  <si>
    <t xml:space="preserve"> Хоронжак И.</t>
  </si>
  <si>
    <t>1762,6560</t>
  </si>
  <si>
    <t>2240,0</t>
  </si>
  <si>
    <t>Огородников Виктор</t>
  </si>
  <si>
    <t xml:space="preserve">НАП Н.Ж. </t>
  </si>
  <si>
    <t>2183,9475</t>
  </si>
  <si>
    <t>2975,0</t>
  </si>
  <si>
    <t>Тихонов Станислав</t>
  </si>
  <si>
    <t>2502,4000</t>
  </si>
  <si>
    <t>3200,0</t>
  </si>
  <si>
    <t>Князев Алексей</t>
  </si>
  <si>
    <t>34,0</t>
  </si>
  <si>
    <t>87,5</t>
  </si>
  <si>
    <t>Открытая (10.02.1990)/28</t>
  </si>
  <si>
    <t>1. Тихонов Станислав</t>
  </si>
  <si>
    <t>28,0</t>
  </si>
  <si>
    <t>Мастера 40 - 44 (12.04.1978)/40</t>
  </si>
  <si>
    <t>1. Огородников Виктор</t>
  </si>
  <si>
    <t>79,80</t>
  </si>
  <si>
    <t>Открытая (12.04.1987)/31</t>
  </si>
  <si>
    <t>1. Князев Алексей</t>
  </si>
  <si>
    <t>Повторы</t>
  </si>
  <si>
    <t>Вес</t>
  </si>
  <si>
    <t>Тоннаж</t>
  </si>
  <si>
    <t>Жим мн. повт.</t>
  </si>
  <si>
    <t>НАП Н.Ж.</t>
  </si>
  <si>
    <t>Кубок Сибири НЖ
Профессионалы народный жим (1 вес)
Кемерово/Кемеровская область 7 октября 2018 г.</t>
  </si>
  <si>
    <t>1541,6100</t>
  </si>
  <si>
    <t>2100,0</t>
  </si>
  <si>
    <t>1673,9451</t>
  </si>
  <si>
    <t>2275,0</t>
  </si>
  <si>
    <t>Туманов Никита</t>
  </si>
  <si>
    <t>1700,3700</t>
  </si>
  <si>
    <t>Скоробогатов Роман</t>
  </si>
  <si>
    <t>1749,4541</t>
  </si>
  <si>
    <t>2170,0</t>
  </si>
  <si>
    <t>Медведев Егор</t>
  </si>
  <si>
    <t>24,0</t>
  </si>
  <si>
    <t>26,0</t>
  </si>
  <si>
    <t>87,30</t>
  </si>
  <si>
    <t>Открытая (10.07.1984)/34</t>
  </si>
  <si>
    <t>1. Туманов Никита</t>
  </si>
  <si>
    <t>77,40</t>
  </si>
  <si>
    <t>Открытая (23.08.1990)/28</t>
  </si>
  <si>
    <t>1. Медведев Егор</t>
  </si>
  <si>
    <t xml:space="preserve">Усть-Абакан/Хакасия республика </t>
  </si>
  <si>
    <t>72,90</t>
  </si>
  <si>
    <t>Открытая (10.12.1980)/37</t>
  </si>
  <si>
    <t>1. Скоробогатов Роман</t>
  </si>
  <si>
    <t>Кубок Сибири НЖ
Любители народный жим (1 вес)
Кемерово/Кемеровская область  7 октября 2018 г.</t>
  </si>
  <si>
    <t>103,4129</t>
  </si>
  <si>
    <t>72,5</t>
  </si>
  <si>
    <t>Мастера 45 - 49 (03.06.1972)/46</t>
  </si>
  <si>
    <t>1. Зеленко Игорь</t>
  </si>
  <si>
    <t>Подъем на бицепс</t>
  </si>
  <si>
    <t>Армейский жим</t>
  </si>
  <si>
    <t>Собственный
вес</t>
  </si>
  <si>
    <t>Кубок Сибири Пауэрспорт
Пауэрспорт Профессионалы
Кемерово/Кемеровская область октября 2018 г.</t>
  </si>
  <si>
    <t>70,9117</t>
  </si>
  <si>
    <t>97,5</t>
  </si>
  <si>
    <t>79,3360</t>
  </si>
  <si>
    <t>102,2670</t>
  </si>
  <si>
    <t>88,0462</t>
  </si>
  <si>
    <t>Наговицын Дмитрий</t>
  </si>
  <si>
    <t>52,5</t>
  </si>
  <si>
    <t>47,5</t>
  </si>
  <si>
    <t>75,00</t>
  </si>
  <si>
    <t>Юниоры 20 - 23 (20.09.1995)/23</t>
  </si>
  <si>
    <t>1. Наговицын Дмитрий</t>
  </si>
  <si>
    <t>Кубок Сибири Пауэрспорт
Пауэрспорт Любители
Кемерово/Кемеровская область октября 2018 г.</t>
  </si>
  <si>
    <t>98,30</t>
  </si>
  <si>
    <t>Открытая (11.10.1986)/31</t>
  </si>
  <si>
    <t>1. Мариничев Евгений</t>
  </si>
  <si>
    <t>55</t>
  </si>
  <si>
    <t>81,20</t>
  </si>
  <si>
    <t>Открытая (22.06.1979)/39</t>
  </si>
  <si>
    <t>1. Фофанов Антон</t>
  </si>
  <si>
    <t>Мастера 45 - 49 (18.10.1968)/49</t>
  </si>
  <si>
    <t>1. Расков Станислав</t>
  </si>
  <si>
    <t>Мастера 40 - 44 (08.05.1978)/40</t>
  </si>
  <si>
    <t>1. Мостовой Андрей</t>
  </si>
  <si>
    <t xml:space="preserve">Безматерных А. </t>
  </si>
  <si>
    <t>70,60</t>
  </si>
  <si>
    <t>Юноши 16 - 17 (03.12.2000)/17</t>
  </si>
  <si>
    <t>1. Еременко Виктор</t>
  </si>
  <si>
    <t>64,20</t>
  </si>
  <si>
    <t>Юноши 18 - 19 (09.05.2000)/18</t>
  </si>
  <si>
    <t>1 Вдовенко Егор</t>
  </si>
  <si>
    <t>Кубок Сибири Пауэрспорт
Подьем штанги на бицепс Любители
Кемерово/Кемеровская область 7  октября 2018 г.</t>
  </si>
  <si>
    <t>75</t>
  </si>
  <si>
    <t>Кубок Сибири Пауэрспорт
Армейский жим Любители
Кемерово/Кемеровская область 7  октября 2018 г.</t>
  </si>
  <si>
    <t>35,0797</t>
  </si>
  <si>
    <t>3080,0</t>
  </si>
  <si>
    <t>All</t>
  </si>
  <si>
    <t xml:space="preserve">Мастера 40 - 49 </t>
  </si>
  <si>
    <t>Миллер Карл</t>
  </si>
  <si>
    <t>43,6742</t>
  </si>
  <si>
    <t>3245,0</t>
  </si>
  <si>
    <t xml:space="preserve">Мастера 50 - 59 </t>
  </si>
  <si>
    <t>Шихалев Василий</t>
  </si>
  <si>
    <t xml:space="preserve">Атлетизм </t>
  </si>
  <si>
    <t>17,8803</t>
  </si>
  <si>
    <t>1375,0</t>
  </si>
  <si>
    <t>Севастьянов Сергей</t>
  </si>
  <si>
    <t>30,1714</t>
  </si>
  <si>
    <t>2640,0</t>
  </si>
  <si>
    <t>Беляев Андрей</t>
  </si>
  <si>
    <t>39,2318</t>
  </si>
  <si>
    <t>2860,0</t>
  </si>
  <si>
    <t>40,5133</t>
  </si>
  <si>
    <t>3630,0</t>
  </si>
  <si>
    <t>Гринев Виктор</t>
  </si>
  <si>
    <t>53,2503</t>
  </si>
  <si>
    <t>3850,0</t>
  </si>
  <si>
    <t>36,0655</t>
  </si>
  <si>
    <t xml:space="preserve">Юноши 13 - 19 </t>
  </si>
  <si>
    <t>Селянкин Владислав</t>
  </si>
  <si>
    <t>36,3846</t>
  </si>
  <si>
    <t>2365,0</t>
  </si>
  <si>
    <t>Точилин Константин</t>
  </si>
  <si>
    <t xml:space="preserve">Тотмянин А. </t>
  </si>
  <si>
    <t>59,0</t>
  </si>
  <si>
    <t>74,30</t>
  </si>
  <si>
    <t>Мастера 50 - 59 (03.02.1961)/57</t>
  </si>
  <si>
    <t>1. Шихалев Василий</t>
  </si>
  <si>
    <t xml:space="preserve">Мариинск/Кемеровская область </t>
  </si>
  <si>
    <t>87,80</t>
  </si>
  <si>
    <t>Мастера 40 - 49 (11.06.1978)/40</t>
  </si>
  <si>
    <t>1. Миллер Карл</t>
  </si>
  <si>
    <t>76,90</t>
  </si>
  <si>
    <t>Открытая (08.08.1970)/48</t>
  </si>
  <si>
    <t>5. Севастьянов Сергей</t>
  </si>
  <si>
    <t>Открытая (11.10.1991)/26</t>
  </si>
  <si>
    <t>4. Беляев Андрей</t>
  </si>
  <si>
    <t>3. Скоробогатов Роман</t>
  </si>
  <si>
    <t>66,0</t>
  </si>
  <si>
    <t>Открытая (29.10.1982)/35</t>
  </si>
  <si>
    <t>2. Гринев Виктор</t>
  </si>
  <si>
    <t>1. Стрельцов Константин</t>
  </si>
  <si>
    <t>43,0</t>
  </si>
  <si>
    <t>65,00</t>
  </si>
  <si>
    <t>Юноши 13 - 19 (21.09.1999)/19</t>
  </si>
  <si>
    <t>2. Точилин Константин</t>
  </si>
  <si>
    <t xml:space="preserve">Сафимов В.С. </t>
  </si>
  <si>
    <t>73,20</t>
  </si>
  <si>
    <t>Юноши 13 - 19 (01.07.2000)/18</t>
  </si>
  <si>
    <t>1. Селянкин Владислав</t>
  </si>
  <si>
    <t>ВЕСОВАЯ КАТЕГОРИЯ   All</t>
  </si>
  <si>
    <t>Атлетизм</t>
  </si>
  <si>
    <t>Кубок Сибири РЖ
Русский жим любители 55 кг.
Кемерово/Кемеровская область 7 октября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</si>
</sst>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2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 indent="1"/>
    </xf>
    <xf numFmtId="49" fontId="2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9" fillId="0" borderId="10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12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43" t="s">
        <v>884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1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8" t="s">
        <v>562</v>
      </c>
      <c r="B6" s="8" t="s">
        <v>563</v>
      </c>
      <c r="C6" s="8" t="s">
        <v>419</v>
      </c>
      <c r="D6" s="8" t="str">
        <f>"0,7717"</f>
        <v>0,7717</v>
      </c>
      <c r="E6" s="8" t="s">
        <v>24</v>
      </c>
      <c r="F6" s="8" t="s">
        <v>317</v>
      </c>
      <c r="G6" s="9" t="s">
        <v>28</v>
      </c>
      <c r="H6" s="9" t="s">
        <v>40</v>
      </c>
      <c r="I6" s="9" t="s">
        <v>42</v>
      </c>
      <c r="J6" s="10"/>
      <c r="K6" s="8" t="str">
        <f>"100,0"</f>
        <v>100,0</v>
      </c>
      <c r="L6" s="9" t="str">
        <f>"78,7134"</f>
        <v>78,7134</v>
      </c>
      <c r="M6" s="8" t="s">
        <v>564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20" t="s">
        <v>269</v>
      </c>
      <c r="B17" s="20"/>
    </row>
    <row r="18" spans="1:2" ht="14.25">
      <c r="A18" s="22"/>
      <c r="B18" s="23" t="s">
        <v>278</v>
      </c>
    </row>
    <row r="19" spans="1:5" ht="15">
      <c r="A19" s="24" t="s">
        <v>243</v>
      </c>
      <c r="B19" s="24" t="s">
        <v>244</v>
      </c>
      <c r="C19" s="24" t="s">
        <v>245</v>
      </c>
      <c r="D19" s="24" t="s">
        <v>246</v>
      </c>
      <c r="E19" s="24" t="s">
        <v>247</v>
      </c>
    </row>
    <row r="20" spans="1:5" ht="12.75">
      <c r="A20" s="21" t="s">
        <v>561</v>
      </c>
      <c r="B20" s="4" t="s">
        <v>279</v>
      </c>
      <c r="C20" s="4" t="s">
        <v>144</v>
      </c>
      <c r="D20" s="4" t="s">
        <v>42</v>
      </c>
      <c r="E20" s="25" t="s">
        <v>858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2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7.625" style="4" customWidth="1"/>
    <col min="14" max="16384" width="9.125" style="3" customWidth="1"/>
  </cols>
  <sheetData>
    <row r="1" spans="1:13" s="2" customFormat="1" ht="28.5" customHeight="1">
      <c r="A1" s="43" t="s">
        <v>890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2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228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8" t="s">
        <v>374</v>
      </c>
      <c r="B6" s="8" t="s">
        <v>375</v>
      </c>
      <c r="C6" s="8" t="s">
        <v>376</v>
      </c>
      <c r="D6" s="8" t="str">
        <f>"0,5441"</f>
        <v>0,5441</v>
      </c>
      <c r="E6" s="8" t="s">
        <v>24</v>
      </c>
      <c r="F6" s="8" t="s">
        <v>78</v>
      </c>
      <c r="G6" s="9" t="s">
        <v>156</v>
      </c>
      <c r="H6" s="9" t="s">
        <v>157</v>
      </c>
      <c r="I6" s="9" t="s">
        <v>158</v>
      </c>
      <c r="J6" s="10"/>
      <c r="K6" s="8" t="str">
        <f>"205,0"</f>
        <v>205,0</v>
      </c>
      <c r="L6" s="9" t="str">
        <f>"111,5405"</f>
        <v>111,5405</v>
      </c>
      <c r="M6" s="8" t="s">
        <v>891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20" t="s">
        <v>269</v>
      </c>
      <c r="B17" s="20"/>
    </row>
    <row r="18" spans="1:2" ht="14.25">
      <c r="A18" s="22"/>
      <c r="B18" s="23" t="s">
        <v>253</v>
      </c>
    </row>
    <row r="19" spans="1:5" ht="15">
      <c r="A19" s="24" t="s">
        <v>243</v>
      </c>
      <c r="B19" s="24" t="s">
        <v>244</v>
      </c>
      <c r="C19" s="24" t="s">
        <v>245</v>
      </c>
      <c r="D19" s="24" t="s">
        <v>246</v>
      </c>
      <c r="E19" s="24" t="s">
        <v>247</v>
      </c>
    </row>
    <row r="20" spans="1:5" ht="12.75">
      <c r="A20" s="21" t="s">
        <v>373</v>
      </c>
      <c r="B20" s="4" t="s">
        <v>253</v>
      </c>
      <c r="C20" s="4" t="s">
        <v>81</v>
      </c>
      <c r="D20" s="4" t="s">
        <v>158</v>
      </c>
      <c r="E20" s="25" t="s">
        <v>377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3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87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6" width="5.625" style="3" bestFit="1" customWidth="1"/>
    <col min="17" max="17" width="2.1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3.875" style="4" bestFit="1" customWidth="1"/>
    <col min="22" max="16384" width="9.125" style="3" customWidth="1"/>
  </cols>
  <sheetData>
    <row r="1" spans="1:21" s="2" customFormat="1" ht="28.5" customHeight="1">
      <c r="A1" s="43" t="s">
        <v>886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1</v>
      </c>
      <c r="H3" s="40"/>
      <c r="I3" s="40"/>
      <c r="J3" s="40"/>
      <c r="K3" s="40" t="s">
        <v>2</v>
      </c>
      <c r="L3" s="40"/>
      <c r="M3" s="40"/>
      <c r="N3" s="40"/>
      <c r="O3" s="40" t="s">
        <v>3</v>
      </c>
      <c r="P3" s="40"/>
      <c r="Q3" s="40"/>
      <c r="R3" s="40"/>
      <c r="S3" s="40" t="s">
        <v>4</v>
      </c>
      <c r="T3" s="40" t="s">
        <v>6</v>
      </c>
      <c r="U3" s="29" t="s">
        <v>5</v>
      </c>
    </row>
    <row r="4" spans="1:21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9"/>
      <c r="T4" s="39"/>
      <c r="U4" s="30"/>
    </row>
    <row r="5" spans="1:20" ht="15">
      <c r="A5" s="41" t="s">
        <v>208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 ht="12.75">
      <c r="A6" s="8" t="s">
        <v>367</v>
      </c>
      <c r="B6" s="8" t="s">
        <v>368</v>
      </c>
      <c r="C6" s="8" t="s">
        <v>369</v>
      </c>
      <c r="D6" s="8" t="str">
        <f>"0,5553"</f>
        <v>0,5553</v>
      </c>
      <c r="E6" s="8" t="s">
        <v>124</v>
      </c>
      <c r="F6" s="8" t="s">
        <v>52</v>
      </c>
      <c r="G6" s="9" t="s">
        <v>128</v>
      </c>
      <c r="H6" s="9" t="s">
        <v>156</v>
      </c>
      <c r="I6" s="9" t="s">
        <v>157</v>
      </c>
      <c r="J6" s="10"/>
      <c r="K6" s="9" t="s">
        <v>128</v>
      </c>
      <c r="L6" s="10" t="s">
        <v>156</v>
      </c>
      <c r="M6" s="9" t="s">
        <v>156</v>
      </c>
      <c r="N6" s="10"/>
      <c r="O6" s="9" t="s">
        <v>207</v>
      </c>
      <c r="P6" s="9" t="s">
        <v>185</v>
      </c>
      <c r="Q6" s="10"/>
      <c r="R6" s="10"/>
      <c r="S6" s="8" t="str">
        <f>"605,0"</f>
        <v>605,0</v>
      </c>
      <c r="T6" s="9" t="str">
        <f>"335,9565"</f>
        <v>335,9565</v>
      </c>
      <c r="U6" s="8" t="s">
        <v>129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7" t="s">
        <v>17</v>
      </c>
      <c r="B16" s="7"/>
    </row>
    <row r="17" spans="1:2" ht="15">
      <c r="A17" s="20" t="s">
        <v>269</v>
      </c>
      <c r="B17" s="20"/>
    </row>
    <row r="18" spans="1:2" ht="14.25">
      <c r="A18" s="22"/>
      <c r="B18" s="23" t="s">
        <v>253</v>
      </c>
    </row>
    <row r="19" spans="1:5" ht="15">
      <c r="A19" s="24" t="s">
        <v>243</v>
      </c>
      <c r="B19" s="24" t="s">
        <v>244</v>
      </c>
      <c r="C19" s="24" t="s">
        <v>245</v>
      </c>
      <c r="D19" s="24" t="s">
        <v>246</v>
      </c>
      <c r="E19" s="24" t="s">
        <v>247</v>
      </c>
    </row>
    <row r="20" spans="1:5" ht="12.75">
      <c r="A20" s="21" t="s">
        <v>366</v>
      </c>
      <c r="B20" s="4" t="s">
        <v>253</v>
      </c>
      <c r="C20" s="4" t="s">
        <v>42</v>
      </c>
      <c r="D20" s="4" t="s">
        <v>370</v>
      </c>
      <c r="E20" s="25" t="s">
        <v>371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20" sqref="A20:E20"/>
    </sheetView>
  </sheetViews>
  <sheetFormatPr defaultColWidth="9.00390625" defaultRowHeight="12.75"/>
  <cols>
    <col min="1" max="1" width="21.875" style="0" customWidth="1"/>
    <col min="2" max="2" width="23.25390625" style="0" customWidth="1"/>
    <col min="5" max="5" width="21.75390625" style="0" customWidth="1"/>
    <col min="6" max="6" width="31.625" style="0" customWidth="1"/>
  </cols>
  <sheetData>
    <row r="1" spans="1:21" ht="12.75">
      <c r="A1" s="43" t="s">
        <v>886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00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15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1</v>
      </c>
      <c r="H3" s="40"/>
      <c r="I3" s="40"/>
      <c r="J3" s="40"/>
      <c r="K3" s="40" t="s">
        <v>2</v>
      </c>
      <c r="L3" s="40"/>
      <c r="M3" s="40"/>
      <c r="N3" s="40"/>
      <c r="O3" s="40" t="s">
        <v>3</v>
      </c>
      <c r="P3" s="40"/>
      <c r="Q3" s="40"/>
      <c r="R3" s="40"/>
      <c r="S3" s="40" t="s">
        <v>4</v>
      </c>
      <c r="T3" s="40" t="s">
        <v>6</v>
      </c>
      <c r="U3" s="29" t="s">
        <v>5</v>
      </c>
    </row>
    <row r="4" spans="1:21" ht="15.75" thickBot="1">
      <c r="A4" s="37"/>
      <c r="B4" s="39"/>
      <c r="C4" s="39"/>
      <c r="D4" s="39"/>
      <c r="E4" s="39"/>
      <c r="F4" s="39"/>
      <c r="G4" s="26">
        <v>1</v>
      </c>
      <c r="H4" s="26">
        <v>2</v>
      </c>
      <c r="I4" s="26">
        <v>3</v>
      </c>
      <c r="J4" s="26" t="s">
        <v>8</v>
      </c>
      <c r="K4" s="26">
        <v>1</v>
      </c>
      <c r="L4" s="26">
        <v>2</v>
      </c>
      <c r="M4" s="26">
        <v>3</v>
      </c>
      <c r="N4" s="26" t="s">
        <v>8</v>
      </c>
      <c r="O4" s="26">
        <v>1</v>
      </c>
      <c r="P4" s="26">
        <v>2</v>
      </c>
      <c r="Q4" s="26">
        <v>3</v>
      </c>
      <c r="R4" s="26" t="s">
        <v>8</v>
      </c>
      <c r="S4" s="39"/>
      <c r="T4" s="39"/>
      <c r="U4" s="30"/>
    </row>
    <row r="5" spans="1:21" ht="15">
      <c r="A5" s="44" t="s">
        <v>228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"/>
    </row>
    <row r="6" spans="1:21" ht="12.75">
      <c r="A6" s="8" t="s">
        <v>346</v>
      </c>
      <c r="B6" s="8" t="s">
        <v>347</v>
      </c>
      <c r="C6" s="8" t="s">
        <v>348</v>
      </c>
      <c r="D6" s="8" t="str">
        <f>"0,5371"</f>
        <v>0,5371</v>
      </c>
      <c r="E6" s="8" t="s">
        <v>887</v>
      </c>
      <c r="F6" s="8" t="s">
        <v>52</v>
      </c>
      <c r="G6" s="9" t="s">
        <v>194</v>
      </c>
      <c r="H6" s="9" t="s">
        <v>177</v>
      </c>
      <c r="I6" s="9" t="s">
        <v>319</v>
      </c>
      <c r="J6" s="10"/>
      <c r="K6" s="10" t="s">
        <v>234</v>
      </c>
      <c r="L6" s="9" t="s">
        <v>234</v>
      </c>
      <c r="M6" s="10" t="s">
        <v>349</v>
      </c>
      <c r="N6" s="10"/>
      <c r="O6" s="10" t="s">
        <v>194</v>
      </c>
      <c r="P6" s="9" t="s">
        <v>195</v>
      </c>
      <c r="Q6" s="9" t="s">
        <v>177</v>
      </c>
      <c r="R6" s="10"/>
      <c r="S6" s="8" t="str">
        <f>"705,0"</f>
        <v>705,0</v>
      </c>
      <c r="T6" s="9" t="str">
        <f>"378,6555"</f>
        <v>378,6555</v>
      </c>
      <c r="U6" s="8" t="s">
        <v>83</v>
      </c>
    </row>
    <row r="7" spans="1:21" ht="12.75">
      <c r="A7" s="4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  <c r="U7" s="4"/>
    </row>
    <row r="8" spans="1:21" ht="15">
      <c r="A8" s="4"/>
      <c r="B8" s="4"/>
      <c r="C8" s="4"/>
      <c r="D8" s="4"/>
      <c r="E8" s="6" t="s">
        <v>12</v>
      </c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  <c r="U8" s="4"/>
    </row>
    <row r="9" spans="1:21" ht="15">
      <c r="A9" s="4"/>
      <c r="B9" s="4"/>
      <c r="C9" s="4"/>
      <c r="D9" s="4"/>
      <c r="E9" s="6" t="s">
        <v>13</v>
      </c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3"/>
      <c r="U9" s="4"/>
    </row>
    <row r="10" spans="1:21" ht="15">
      <c r="A10" s="4"/>
      <c r="B10" s="4"/>
      <c r="C10" s="4"/>
      <c r="D10" s="4"/>
      <c r="E10" s="6" t="s">
        <v>14</v>
      </c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3"/>
      <c r="U10" s="4"/>
    </row>
    <row r="11" spans="1:21" ht="15">
      <c r="A11" s="4"/>
      <c r="B11" s="4"/>
      <c r="C11" s="4"/>
      <c r="D11" s="4"/>
      <c r="E11" s="6" t="s">
        <v>15</v>
      </c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4"/>
    </row>
    <row r="12" spans="1:21" ht="15">
      <c r="A12" s="4"/>
      <c r="B12" s="4"/>
      <c r="C12" s="4"/>
      <c r="D12" s="4"/>
      <c r="E12" s="6" t="s">
        <v>15</v>
      </c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3"/>
      <c r="U12" s="4"/>
    </row>
    <row r="13" spans="1:21" ht="15">
      <c r="A13" s="4"/>
      <c r="B13" s="4"/>
      <c r="C13" s="4"/>
      <c r="D13" s="4"/>
      <c r="E13" s="6" t="s">
        <v>16</v>
      </c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3"/>
      <c r="U13" s="4"/>
    </row>
    <row r="14" spans="1:21" ht="15">
      <c r="A14" s="4"/>
      <c r="B14" s="4"/>
      <c r="C14" s="4"/>
      <c r="D14" s="4"/>
      <c r="E14" s="6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3"/>
      <c r="U14" s="4"/>
    </row>
    <row r="15" spans="1:21" ht="12.75">
      <c r="A15" s="4"/>
      <c r="B15" s="4"/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3"/>
      <c r="U15" s="4"/>
    </row>
    <row r="16" spans="1:21" ht="18">
      <c r="A16" s="7" t="s">
        <v>17</v>
      </c>
      <c r="B16" s="7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3"/>
      <c r="U16" s="4"/>
    </row>
    <row r="17" spans="1:21" ht="15">
      <c r="A17" s="20" t="s">
        <v>269</v>
      </c>
      <c r="B17" s="20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3"/>
      <c r="U17" s="4"/>
    </row>
    <row r="18" spans="1:21" ht="14.25">
      <c r="A18" s="22"/>
      <c r="B18" s="23" t="s">
        <v>253</v>
      </c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3"/>
      <c r="U18" s="4"/>
    </row>
    <row r="19" spans="1:21" ht="15">
      <c r="A19" s="24" t="s">
        <v>243</v>
      </c>
      <c r="B19" s="24" t="s">
        <v>244</v>
      </c>
      <c r="C19" s="24" t="s">
        <v>245</v>
      </c>
      <c r="D19" s="24" t="s">
        <v>246</v>
      </c>
      <c r="E19" s="24" t="s">
        <v>247</v>
      </c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3"/>
      <c r="U19" s="4"/>
    </row>
    <row r="20" spans="1:21" s="3" customFormat="1" ht="12.75">
      <c r="A20" s="21" t="s">
        <v>345</v>
      </c>
      <c r="B20" s="4" t="s">
        <v>253</v>
      </c>
      <c r="C20" s="4" t="s">
        <v>81</v>
      </c>
      <c r="D20" s="4" t="s">
        <v>350</v>
      </c>
      <c r="E20" s="25" t="s">
        <v>351</v>
      </c>
      <c r="F20" s="4"/>
      <c r="S20" s="4"/>
      <c r="U20" s="4"/>
    </row>
    <row r="21" spans="1:21" ht="12.75">
      <c r="A21" s="4"/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3"/>
      <c r="U21" s="4"/>
    </row>
    <row r="22" spans="1:21" ht="12.75">
      <c r="A22" s="4"/>
      <c r="B22" s="4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3"/>
      <c r="U22" s="4"/>
    </row>
    <row r="23" spans="1:21" ht="12.7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3"/>
      <c r="U23" s="4"/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3" t="s">
        <v>889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1</v>
      </c>
      <c r="H3" s="40"/>
      <c r="I3" s="40"/>
      <c r="J3" s="40"/>
      <c r="K3" s="40" t="s">
        <v>2</v>
      </c>
      <c r="L3" s="40"/>
      <c r="M3" s="40"/>
      <c r="N3" s="40"/>
      <c r="O3" s="40" t="s">
        <v>3</v>
      </c>
      <c r="P3" s="40"/>
      <c r="Q3" s="40"/>
      <c r="R3" s="40"/>
      <c r="S3" s="40" t="s">
        <v>4</v>
      </c>
      <c r="T3" s="40" t="s">
        <v>6</v>
      </c>
      <c r="U3" s="29" t="s">
        <v>5</v>
      </c>
    </row>
    <row r="4" spans="1:21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9"/>
      <c r="T4" s="39"/>
      <c r="U4" s="30"/>
    </row>
    <row r="5" spans="1:20" ht="15">
      <c r="A5" s="41" t="s">
        <v>111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 ht="12.75">
      <c r="A6" s="8" t="s">
        <v>308</v>
      </c>
      <c r="B6" s="8" t="s">
        <v>309</v>
      </c>
      <c r="C6" s="8" t="s">
        <v>310</v>
      </c>
      <c r="D6" s="8" t="str">
        <f>"0,6203"</f>
        <v>0,6203</v>
      </c>
      <c r="E6" s="8" t="s">
        <v>24</v>
      </c>
      <c r="F6" s="8" t="s">
        <v>311</v>
      </c>
      <c r="G6" s="9" t="s">
        <v>91</v>
      </c>
      <c r="H6" s="9" t="s">
        <v>233</v>
      </c>
      <c r="I6" s="10" t="s">
        <v>94</v>
      </c>
      <c r="J6" s="10"/>
      <c r="K6" s="9" t="s">
        <v>312</v>
      </c>
      <c r="L6" s="9" t="s">
        <v>176</v>
      </c>
      <c r="M6" s="9" t="s">
        <v>313</v>
      </c>
      <c r="N6" s="10"/>
      <c r="O6" s="9" t="s">
        <v>157</v>
      </c>
      <c r="P6" s="9" t="s">
        <v>207</v>
      </c>
      <c r="Q6" s="10" t="s">
        <v>201</v>
      </c>
      <c r="R6" s="10"/>
      <c r="S6" s="8" t="str">
        <f>"525,0"</f>
        <v>525,0</v>
      </c>
      <c r="T6" s="9" t="str">
        <f>"325,6575"</f>
        <v>325,6575</v>
      </c>
      <c r="U6" s="8" t="s">
        <v>83</v>
      </c>
    </row>
    <row r="8" spans="1:20" ht="15">
      <c r="A8" s="44" t="s">
        <v>196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1" ht="12.75">
      <c r="A9" s="11" t="s">
        <v>315</v>
      </c>
      <c r="B9" s="11" t="s">
        <v>316</v>
      </c>
      <c r="C9" s="11" t="s">
        <v>205</v>
      </c>
      <c r="D9" s="11" t="str">
        <f>"0,5853"</f>
        <v>0,5853</v>
      </c>
      <c r="E9" s="11" t="s">
        <v>24</v>
      </c>
      <c r="F9" s="11" t="s">
        <v>317</v>
      </c>
      <c r="G9" s="12" t="s">
        <v>168</v>
      </c>
      <c r="H9" s="12" t="s">
        <v>158</v>
      </c>
      <c r="I9" s="12" t="s">
        <v>185</v>
      </c>
      <c r="J9" s="13"/>
      <c r="K9" s="12" t="s">
        <v>118</v>
      </c>
      <c r="L9" s="12" t="s">
        <v>126</v>
      </c>
      <c r="M9" s="13" t="s">
        <v>318</v>
      </c>
      <c r="N9" s="13"/>
      <c r="O9" s="12" t="s">
        <v>195</v>
      </c>
      <c r="P9" s="12" t="s">
        <v>319</v>
      </c>
      <c r="Q9" s="12" t="s">
        <v>187</v>
      </c>
      <c r="R9" s="13"/>
      <c r="S9" s="11" t="str">
        <f>"615,0"</f>
        <v>615,0</v>
      </c>
      <c r="T9" s="12" t="str">
        <f>"359,9595"</f>
        <v>359,9595</v>
      </c>
      <c r="U9" s="11" t="s">
        <v>83</v>
      </c>
    </row>
    <row r="10" spans="1:21" ht="12.75">
      <c r="A10" s="17" t="s">
        <v>321</v>
      </c>
      <c r="B10" s="17" t="s">
        <v>322</v>
      </c>
      <c r="C10" s="17" t="s">
        <v>200</v>
      </c>
      <c r="D10" s="17" t="str">
        <f>"0,5869"</f>
        <v>0,5869</v>
      </c>
      <c r="E10" s="17" t="s">
        <v>24</v>
      </c>
      <c r="F10" s="17" t="s">
        <v>101</v>
      </c>
      <c r="G10" s="18" t="s">
        <v>168</v>
      </c>
      <c r="H10" s="19" t="s">
        <v>207</v>
      </c>
      <c r="I10" s="18" t="s">
        <v>207</v>
      </c>
      <c r="J10" s="19"/>
      <c r="K10" s="18" t="s">
        <v>90</v>
      </c>
      <c r="L10" s="18" t="s">
        <v>127</v>
      </c>
      <c r="M10" s="19" t="s">
        <v>227</v>
      </c>
      <c r="N10" s="19"/>
      <c r="O10" s="18" t="s">
        <v>207</v>
      </c>
      <c r="P10" s="18" t="s">
        <v>323</v>
      </c>
      <c r="Q10" s="19"/>
      <c r="R10" s="19"/>
      <c r="S10" s="17" t="str">
        <f>"602,5"</f>
        <v>602,5</v>
      </c>
      <c r="T10" s="18" t="str">
        <f>"353,6072"</f>
        <v>353,6072</v>
      </c>
      <c r="U10" s="17" t="s">
        <v>83</v>
      </c>
    </row>
    <row r="11" spans="1:21" ht="12.75">
      <c r="A11" s="17" t="s">
        <v>325</v>
      </c>
      <c r="B11" s="17" t="s">
        <v>326</v>
      </c>
      <c r="C11" s="17" t="s">
        <v>327</v>
      </c>
      <c r="D11" s="17" t="str">
        <f>"0,5991"</f>
        <v>0,5991</v>
      </c>
      <c r="E11" s="17" t="s">
        <v>24</v>
      </c>
      <c r="F11" s="17" t="s">
        <v>311</v>
      </c>
      <c r="G11" s="19" t="s">
        <v>105</v>
      </c>
      <c r="H11" s="19" t="s">
        <v>105</v>
      </c>
      <c r="I11" s="18" t="s">
        <v>105</v>
      </c>
      <c r="J11" s="19"/>
      <c r="K11" s="18" t="s">
        <v>72</v>
      </c>
      <c r="L11" s="19" t="s">
        <v>46</v>
      </c>
      <c r="M11" s="18" t="s">
        <v>46</v>
      </c>
      <c r="N11" s="19"/>
      <c r="O11" s="19" t="s">
        <v>91</v>
      </c>
      <c r="P11" s="18" t="s">
        <v>328</v>
      </c>
      <c r="Q11" s="19" t="s">
        <v>127</v>
      </c>
      <c r="R11" s="19"/>
      <c r="S11" s="17" t="str">
        <f>"407,5"</f>
        <v>407,5</v>
      </c>
      <c r="T11" s="18" t="str">
        <f>"244,1332"</f>
        <v>244,1332</v>
      </c>
      <c r="U11" s="17" t="s">
        <v>83</v>
      </c>
    </row>
    <row r="13" spans="1:20" ht="15">
      <c r="A13" s="44" t="s">
        <v>208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1" ht="12.75">
      <c r="A14" s="11" t="s">
        <v>330</v>
      </c>
      <c r="B14" s="11" t="s">
        <v>331</v>
      </c>
      <c r="C14" s="11" t="s">
        <v>332</v>
      </c>
      <c r="D14" s="11" t="str">
        <f>"0,5545"</f>
        <v>0,5545</v>
      </c>
      <c r="E14" s="11" t="s">
        <v>24</v>
      </c>
      <c r="F14" s="11" t="s">
        <v>52</v>
      </c>
      <c r="G14" s="12" t="s">
        <v>168</v>
      </c>
      <c r="H14" s="12" t="s">
        <v>333</v>
      </c>
      <c r="I14" s="12" t="s">
        <v>207</v>
      </c>
      <c r="J14" s="13"/>
      <c r="K14" s="12" t="s">
        <v>156</v>
      </c>
      <c r="L14" s="12" t="s">
        <v>157</v>
      </c>
      <c r="M14" s="13" t="s">
        <v>158</v>
      </c>
      <c r="N14" s="13"/>
      <c r="O14" s="12" t="s">
        <v>207</v>
      </c>
      <c r="P14" s="12" t="s">
        <v>234</v>
      </c>
      <c r="Q14" s="12" t="s">
        <v>334</v>
      </c>
      <c r="R14" s="13"/>
      <c r="S14" s="11" t="str">
        <f>"642,5"</f>
        <v>642,5</v>
      </c>
      <c r="T14" s="12" t="str">
        <f>"356,2662"</f>
        <v>356,2662</v>
      </c>
      <c r="U14" s="11" t="s">
        <v>83</v>
      </c>
    </row>
    <row r="15" spans="1:21" ht="12.75">
      <c r="A15" s="17" t="s">
        <v>336</v>
      </c>
      <c r="B15" s="17" t="s">
        <v>337</v>
      </c>
      <c r="C15" s="17" t="s">
        <v>338</v>
      </c>
      <c r="D15" s="17" t="str">
        <f>"0,5589"</f>
        <v>0,5589</v>
      </c>
      <c r="E15" s="17" t="s">
        <v>24</v>
      </c>
      <c r="F15" s="17" t="s">
        <v>339</v>
      </c>
      <c r="G15" s="18" t="s">
        <v>207</v>
      </c>
      <c r="H15" s="18" t="s">
        <v>234</v>
      </c>
      <c r="I15" s="18" t="s">
        <v>334</v>
      </c>
      <c r="J15" s="19"/>
      <c r="K15" s="18" t="s">
        <v>126</v>
      </c>
      <c r="L15" s="19" t="s">
        <v>127</v>
      </c>
      <c r="M15" s="19" t="s">
        <v>127</v>
      </c>
      <c r="N15" s="19"/>
      <c r="O15" s="18" t="s">
        <v>195</v>
      </c>
      <c r="P15" s="18" t="s">
        <v>186</v>
      </c>
      <c r="Q15" s="19" t="s">
        <v>340</v>
      </c>
      <c r="R15" s="19"/>
      <c r="S15" s="17" t="str">
        <f>"622,5"</f>
        <v>622,5</v>
      </c>
      <c r="T15" s="18" t="str">
        <f>"347,9152"</f>
        <v>347,9152</v>
      </c>
      <c r="U15" s="17" t="s">
        <v>83</v>
      </c>
    </row>
    <row r="16" spans="1:21" ht="12.75">
      <c r="A16" s="14" t="s">
        <v>342</v>
      </c>
      <c r="B16" s="14" t="s">
        <v>343</v>
      </c>
      <c r="C16" s="14" t="s">
        <v>344</v>
      </c>
      <c r="D16" s="14" t="str">
        <f>"0,5608"</f>
        <v>0,5608</v>
      </c>
      <c r="E16" s="14" t="s">
        <v>24</v>
      </c>
      <c r="F16" s="14" t="s">
        <v>311</v>
      </c>
      <c r="G16" s="16" t="s">
        <v>157</v>
      </c>
      <c r="H16" s="15" t="s">
        <v>207</v>
      </c>
      <c r="I16" s="15" t="s">
        <v>207</v>
      </c>
      <c r="J16" s="15"/>
      <c r="K16" s="16" t="s">
        <v>90</v>
      </c>
      <c r="L16" s="16" t="s">
        <v>91</v>
      </c>
      <c r="M16" s="15" t="s">
        <v>328</v>
      </c>
      <c r="N16" s="15"/>
      <c r="O16" s="16" t="s">
        <v>158</v>
      </c>
      <c r="P16" s="15" t="s">
        <v>185</v>
      </c>
      <c r="Q16" s="15" t="s">
        <v>201</v>
      </c>
      <c r="R16" s="15"/>
      <c r="S16" s="14" t="str">
        <f>"565,0"</f>
        <v>565,0</v>
      </c>
      <c r="T16" s="16" t="str">
        <f>"316,8520"</f>
        <v>316,8520</v>
      </c>
      <c r="U16" s="14" t="s">
        <v>83</v>
      </c>
    </row>
    <row r="19" ht="15">
      <c r="E19" s="6" t="s">
        <v>12</v>
      </c>
    </row>
    <row r="20" ht="15">
      <c r="E20" s="6" t="s">
        <v>13</v>
      </c>
    </row>
    <row r="21" ht="15">
      <c r="E21" s="6" t="s">
        <v>14</v>
      </c>
    </row>
    <row r="22" ht="15">
      <c r="E22" s="6" t="s">
        <v>15</v>
      </c>
    </row>
    <row r="23" ht="15">
      <c r="E23" s="6" t="s">
        <v>15</v>
      </c>
    </row>
    <row r="24" ht="15">
      <c r="E24" s="6" t="s">
        <v>16</v>
      </c>
    </row>
    <row r="25" ht="15">
      <c r="E25" s="6"/>
    </row>
    <row r="27" spans="1:2" ht="18">
      <c r="A27" s="7" t="s">
        <v>17</v>
      </c>
      <c r="B27" s="7"/>
    </row>
    <row r="28" spans="1:2" ht="15">
      <c r="A28" s="20" t="s">
        <v>269</v>
      </c>
      <c r="B28" s="20"/>
    </row>
    <row r="29" spans="1:2" ht="14.25">
      <c r="A29" s="22"/>
      <c r="B29" s="23" t="s">
        <v>253</v>
      </c>
    </row>
    <row r="30" spans="1:5" ht="15">
      <c r="A30" s="24" t="s">
        <v>243</v>
      </c>
      <c r="B30" s="24" t="s">
        <v>244</v>
      </c>
      <c r="C30" s="24" t="s">
        <v>245</v>
      </c>
      <c r="D30" s="24" t="s">
        <v>246</v>
      </c>
      <c r="E30" s="24" t="s">
        <v>247</v>
      </c>
    </row>
    <row r="31" spans="1:5" ht="12.75">
      <c r="A31" s="21" t="s">
        <v>314</v>
      </c>
      <c r="B31" s="4" t="s">
        <v>253</v>
      </c>
      <c r="C31" s="4" t="s">
        <v>79</v>
      </c>
      <c r="D31" s="4" t="s">
        <v>352</v>
      </c>
      <c r="E31" s="25" t="s">
        <v>353</v>
      </c>
    </row>
    <row r="32" spans="1:5" ht="12.75">
      <c r="A32" s="21" t="s">
        <v>329</v>
      </c>
      <c r="B32" s="4" t="s">
        <v>253</v>
      </c>
      <c r="C32" s="4" t="s">
        <v>42</v>
      </c>
      <c r="D32" s="4" t="s">
        <v>354</v>
      </c>
      <c r="E32" s="25" t="s">
        <v>355</v>
      </c>
    </row>
    <row r="33" spans="1:5" ht="12.75">
      <c r="A33" s="21" t="s">
        <v>320</v>
      </c>
      <c r="B33" s="4" t="s">
        <v>253</v>
      </c>
      <c r="C33" s="4" t="s">
        <v>79</v>
      </c>
      <c r="D33" s="4" t="s">
        <v>356</v>
      </c>
      <c r="E33" s="25" t="s">
        <v>357</v>
      </c>
    </row>
    <row r="34" spans="1:5" ht="12.75">
      <c r="A34" s="21" t="s">
        <v>335</v>
      </c>
      <c r="B34" s="4" t="s">
        <v>253</v>
      </c>
      <c r="C34" s="4" t="s">
        <v>42</v>
      </c>
      <c r="D34" s="4" t="s">
        <v>358</v>
      </c>
      <c r="E34" s="25" t="s">
        <v>359</v>
      </c>
    </row>
    <row r="35" spans="1:5" ht="12.75">
      <c r="A35" s="21" t="s">
        <v>307</v>
      </c>
      <c r="B35" s="4" t="s">
        <v>253</v>
      </c>
      <c r="C35" s="4" t="s">
        <v>261</v>
      </c>
      <c r="D35" s="4" t="s">
        <v>360</v>
      </c>
      <c r="E35" s="25" t="s">
        <v>361</v>
      </c>
    </row>
    <row r="36" spans="1:5" ht="12.75">
      <c r="A36" s="21" t="s">
        <v>341</v>
      </c>
      <c r="B36" s="4" t="s">
        <v>253</v>
      </c>
      <c r="C36" s="4" t="s">
        <v>42</v>
      </c>
      <c r="D36" s="4" t="s">
        <v>362</v>
      </c>
      <c r="E36" s="25" t="s">
        <v>363</v>
      </c>
    </row>
    <row r="37" spans="1:5" ht="12.75">
      <c r="A37" s="21" t="s">
        <v>324</v>
      </c>
      <c r="B37" s="4" t="s">
        <v>253</v>
      </c>
      <c r="C37" s="4" t="s">
        <v>79</v>
      </c>
      <c r="D37" s="4" t="s">
        <v>364</v>
      </c>
      <c r="E37" s="25" t="s">
        <v>365</v>
      </c>
    </row>
  </sheetData>
  <sheetProtection/>
  <mergeCells count="16"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3.875" style="4" bestFit="1" customWidth="1"/>
    <col min="22" max="16384" width="9.125" style="3" customWidth="1"/>
  </cols>
  <sheetData>
    <row r="1" spans="1:21" s="2" customFormat="1" ht="28.5" customHeight="1">
      <c r="A1" s="43" t="s">
        <v>888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1</v>
      </c>
      <c r="H3" s="40"/>
      <c r="I3" s="40"/>
      <c r="J3" s="40"/>
      <c r="K3" s="40" t="s">
        <v>2</v>
      </c>
      <c r="L3" s="40"/>
      <c r="M3" s="40"/>
      <c r="N3" s="40"/>
      <c r="O3" s="40" t="s">
        <v>3</v>
      </c>
      <c r="P3" s="40"/>
      <c r="Q3" s="40"/>
      <c r="R3" s="40"/>
      <c r="S3" s="40" t="s">
        <v>4</v>
      </c>
      <c r="T3" s="40" t="s">
        <v>6</v>
      </c>
      <c r="U3" s="29" t="s">
        <v>5</v>
      </c>
    </row>
    <row r="4" spans="1:21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5">
        <v>1</v>
      </c>
      <c r="L4" s="5">
        <v>2</v>
      </c>
      <c r="M4" s="5">
        <v>3</v>
      </c>
      <c r="N4" s="5" t="s">
        <v>8</v>
      </c>
      <c r="O4" s="5">
        <v>1</v>
      </c>
      <c r="P4" s="5">
        <v>2</v>
      </c>
      <c r="Q4" s="5">
        <v>3</v>
      </c>
      <c r="R4" s="5" t="s">
        <v>8</v>
      </c>
      <c r="S4" s="39"/>
      <c r="T4" s="39"/>
      <c r="U4" s="30"/>
    </row>
    <row r="5" spans="1:20" ht="15">
      <c r="A5" s="41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 ht="12.75">
      <c r="A6" s="8" t="s">
        <v>21</v>
      </c>
      <c r="B6" s="8" t="s">
        <v>22</v>
      </c>
      <c r="C6" s="8" t="s">
        <v>23</v>
      </c>
      <c r="D6" s="8" t="str">
        <f>"1,1634"</f>
        <v>1,1634</v>
      </c>
      <c r="E6" s="8" t="s">
        <v>24</v>
      </c>
      <c r="F6" s="8" t="s">
        <v>25</v>
      </c>
      <c r="G6" s="9" t="s">
        <v>26</v>
      </c>
      <c r="H6" s="9" t="s">
        <v>27</v>
      </c>
      <c r="I6" s="10" t="s">
        <v>28</v>
      </c>
      <c r="J6" s="10"/>
      <c r="K6" s="10" t="s">
        <v>29</v>
      </c>
      <c r="L6" s="9" t="s">
        <v>30</v>
      </c>
      <c r="M6" s="9" t="s">
        <v>31</v>
      </c>
      <c r="N6" s="10"/>
      <c r="O6" s="9" t="s">
        <v>26</v>
      </c>
      <c r="P6" s="9" t="s">
        <v>27</v>
      </c>
      <c r="Q6" s="9" t="s">
        <v>28</v>
      </c>
      <c r="R6" s="10"/>
      <c r="S6" s="8" t="str">
        <f>"165,0"</f>
        <v>165,0</v>
      </c>
      <c r="T6" s="9" t="str">
        <f>"199,6394"</f>
        <v>199,6394</v>
      </c>
      <c r="U6" s="8" t="s">
        <v>32</v>
      </c>
    </row>
    <row r="8" spans="1:20" ht="15">
      <c r="A8" s="44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1" ht="12.75">
      <c r="A9" s="11" t="s">
        <v>35</v>
      </c>
      <c r="B9" s="11" t="s">
        <v>36</v>
      </c>
      <c r="C9" s="11" t="s">
        <v>37</v>
      </c>
      <c r="D9" s="11" t="str">
        <f>"0,9935"</f>
        <v>0,9935</v>
      </c>
      <c r="E9" s="11" t="s">
        <v>38</v>
      </c>
      <c r="F9" s="11" t="s">
        <v>39</v>
      </c>
      <c r="G9" s="12" t="s">
        <v>40</v>
      </c>
      <c r="H9" s="13" t="s">
        <v>41</v>
      </c>
      <c r="I9" s="12" t="s">
        <v>42</v>
      </c>
      <c r="J9" s="13"/>
      <c r="K9" s="12" t="s">
        <v>43</v>
      </c>
      <c r="L9" s="12" t="s">
        <v>44</v>
      </c>
      <c r="M9" s="12" t="s">
        <v>45</v>
      </c>
      <c r="N9" s="13"/>
      <c r="O9" s="12" t="s">
        <v>42</v>
      </c>
      <c r="P9" s="13" t="s">
        <v>46</v>
      </c>
      <c r="Q9" s="13" t="s">
        <v>46</v>
      </c>
      <c r="R9" s="13"/>
      <c r="S9" s="11" t="str">
        <f>"250,0"</f>
        <v>250,0</v>
      </c>
      <c r="T9" s="12" t="str">
        <f>"248,3750"</f>
        <v>248,3750</v>
      </c>
      <c r="U9" s="11" t="s">
        <v>47</v>
      </c>
    </row>
    <row r="10" spans="1:21" ht="12.75">
      <c r="A10" s="14" t="s">
        <v>49</v>
      </c>
      <c r="B10" s="14" t="s">
        <v>50</v>
      </c>
      <c r="C10" s="14" t="s">
        <v>51</v>
      </c>
      <c r="D10" s="14" t="str">
        <f>"0,9833"</f>
        <v>0,9833</v>
      </c>
      <c r="E10" s="14" t="s">
        <v>24</v>
      </c>
      <c r="F10" s="14" t="s">
        <v>52</v>
      </c>
      <c r="G10" s="15" t="s">
        <v>27</v>
      </c>
      <c r="H10" s="16" t="s">
        <v>27</v>
      </c>
      <c r="I10" s="16" t="s">
        <v>28</v>
      </c>
      <c r="J10" s="15"/>
      <c r="K10" s="16" t="s">
        <v>53</v>
      </c>
      <c r="L10" s="16" t="s">
        <v>54</v>
      </c>
      <c r="M10" s="15" t="s">
        <v>43</v>
      </c>
      <c r="N10" s="15"/>
      <c r="O10" s="16" t="s">
        <v>28</v>
      </c>
      <c r="P10" s="16" t="s">
        <v>55</v>
      </c>
      <c r="Q10" s="16" t="s">
        <v>56</v>
      </c>
      <c r="R10" s="15"/>
      <c r="S10" s="14" t="str">
        <f>"187,0"</f>
        <v>187,0</v>
      </c>
      <c r="T10" s="16" t="str">
        <f>"183,8678"</f>
        <v>183,8678</v>
      </c>
      <c r="U10" s="14" t="s">
        <v>57</v>
      </c>
    </row>
    <row r="12" spans="1:20" ht="15">
      <c r="A12" s="44" t="s">
        <v>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1" ht="12.75">
      <c r="A13" s="8" t="s">
        <v>60</v>
      </c>
      <c r="B13" s="8" t="s">
        <v>61</v>
      </c>
      <c r="C13" s="8" t="s">
        <v>62</v>
      </c>
      <c r="D13" s="8" t="str">
        <f>"0,9124"</f>
        <v>0,9124</v>
      </c>
      <c r="E13" s="8" t="s">
        <v>24</v>
      </c>
      <c r="F13" s="8" t="s">
        <v>52</v>
      </c>
      <c r="G13" s="9" t="s">
        <v>26</v>
      </c>
      <c r="H13" s="9" t="s">
        <v>55</v>
      </c>
      <c r="I13" s="9" t="s">
        <v>56</v>
      </c>
      <c r="J13" s="10"/>
      <c r="K13" s="9" t="s">
        <v>53</v>
      </c>
      <c r="L13" s="10" t="s">
        <v>43</v>
      </c>
      <c r="M13" s="10" t="s">
        <v>43</v>
      </c>
      <c r="N13" s="10"/>
      <c r="O13" s="9" t="s">
        <v>28</v>
      </c>
      <c r="P13" s="9" t="s">
        <v>56</v>
      </c>
      <c r="Q13" s="10" t="s">
        <v>42</v>
      </c>
      <c r="R13" s="10"/>
      <c r="S13" s="8" t="str">
        <f>"195,0"</f>
        <v>195,0</v>
      </c>
      <c r="T13" s="9" t="str">
        <f>"177,9180"</f>
        <v>177,9180</v>
      </c>
      <c r="U13" s="8" t="s">
        <v>63</v>
      </c>
    </row>
    <row r="15" spans="1:20" ht="15">
      <c r="A15" s="44" t="s">
        <v>64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1" ht="12.75">
      <c r="A16" s="11" t="s">
        <v>66</v>
      </c>
      <c r="B16" s="11" t="s">
        <v>67</v>
      </c>
      <c r="C16" s="11" t="s">
        <v>68</v>
      </c>
      <c r="D16" s="11" t="str">
        <f>"0,9111"</f>
        <v>0,9111</v>
      </c>
      <c r="E16" s="11" t="s">
        <v>69</v>
      </c>
      <c r="F16" s="11" t="s">
        <v>70</v>
      </c>
      <c r="G16" s="12" t="s">
        <v>27</v>
      </c>
      <c r="H16" s="12" t="s">
        <v>28</v>
      </c>
      <c r="I16" s="12" t="s">
        <v>55</v>
      </c>
      <c r="J16" s="13"/>
      <c r="K16" s="12" t="s">
        <v>43</v>
      </c>
      <c r="L16" s="12" t="s">
        <v>44</v>
      </c>
      <c r="M16" s="13" t="s">
        <v>45</v>
      </c>
      <c r="N16" s="13"/>
      <c r="O16" s="12" t="s">
        <v>71</v>
      </c>
      <c r="P16" s="12" t="s">
        <v>72</v>
      </c>
      <c r="Q16" s="12" t="s">
        <v>46</v>
      </c>
      <c r="R16" s="13"/>
      <c r="S16" s="11" t="str">
        <f>"240,0"</f>
        <v>240,0</v>
      </c>
      <c r="T16" s="12" t="str">
        <f>"236,1442"</f>
        <v>236,1442</v>
      </c>
      <c r="U16" s="11" t="s">
        <v>73</v>
      </c>
    </row>
    <row r="17" spans="1:21" ht="12.75">
      <c r="A17" s="14" t="s">
        <v>75</v>
      </c>
      <c r="B17" s="14" t="s">
        <v>76</v>
      </c>
      <c r="C17" s="14" t="s">
        <v>77</v>
      </c>
      <c r="D17" s="14" t="str">
        <f>"0,8831"</f>
        <v>0,8831</v>
      </c>
      <c r="E17" s="14" t="s">
        <v>24</v>
      </c>
      <c r="F17" s="14" t="s">
        <v>78</v>
      </c>
      <c r="G17" s="15" t="s">
        <v>40</v>
      </c>
      <c r="H17" s="16" t="s">
        <v>40</v>
      </c>
      <c r="I17" s="15" t="s">
        <v>79</v>
      </c>
      <c r="J17" s="15"/>
      <c r="K17" s="16" t="s">
        <v>44</v>
      </c>
      <c r="L17" s="15" t="s">
        <v>80</v>
      </c>
      <c r="M17" s="15" t="s">
        <v>80</v>
      </c>
      <c r="N17" s="15"/>
      <c r="O17" s="16" t="s">
        <v>81</v>
      </c>
      <c r="P17" s="15" t="s">
        <v>82</v>
      </c>
      <c r="Q17" s="15" t="s">
        <v>82</v>
      </c>
      <c r="R17" s="15"/>
      <c r="S17" s="14" t="str">
        <f>"240,0"</f>
        <v>240,0</v>
      </c>
      <c r="T17" s="16" t="str">
        <f>"211,9560"</f>
        <v>211,9560</v>
      </c>
      <c r="U17" s="14" t="s">
        <v>83</v>
      </c>
    </row>
    <row r="19" spans="1:20" ht="15">
      <c r="A19" s="44" t="s">
        <v>84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ht="12.75">
      <c r="A20" s="11" t="s">
        <v>86</v>
      </c>
      <c r="B20" s="11" t="s">
        <v>87</v>
      </c>
      <c r="C20" s="11" t="s">
        <v>88</v>
      </c>
      <c r="D20" s="11" t="str">
        <f>"0,8263"</f>
        <v>0,8263</v>
      </c>
      <c r="E20" s="11" t="s">
        <v>24</v>
      </c>
      <c r="F20" s="11" t="s">
        <v>78</v>
      </c>
      <c r="G20" s="12" t="s">
        <v>89</v>
      </c>
      <c r="H20" s="12" t="s">
        <v>90</v>
      </c>
      <c r="I20" s="13" t="s">
        <v>91</v>
      </c>
      <c r="J20" s="13"/>
      <c r="K20" s="12" t="s">
        <v>41</v>
      </c>
      <c r="L20" s="13" t="s">
        <v>92</v>
      </c>
      <c r="M20" s="12" t="s">
        <v>93</v>
      </c>
      <c r="N20" s="13"/>
      <c r="O20" s="12" t="s">
        <v>91</v>
      </c>
      <c r="P20" s="12" t="s">
        <v>94</v>
      </c>
      <c r="Q20" s="12" t="s">
        <v>95</v>
      </c>
      <c r="R20" s="13"/>
      <c r="S20" s="11" t="str">
        <f>"439,5"</f>
        <v>439,5</v>
      </c>
      <c r="T20" s="12" t="str">
        <f>"363,1589"</f>
        <v>363,1589</v>
      </c>
      <c r="U20" s="11" t="s">
        <v>96</v>
      </c>
    </row>
    <row r="21" spans="1:21" ht="12.75">
      <c r="A21" s="17" t="s">
        <v>98</v>
      </c>
      <c r="B21" s="17" t="s">
        <v>99</v>
      </c>
      <c r="C21" s="17" t="s">
        <v>100</v>
      </c>
      <c r="D21" s="17" t="str">
        <f>"0,7788"</f>
        <v>0,7788</v>
      </c>
      <c r="E21" s="17" t="s">
        <v>24</v>
      </c>
      <c r="F21" s="17" t="s">
        <v>101</v>
      </c>
      <c r="G21" s="18" t="s">
        <v>71</v>
      </c>
      <c r="H21" s="18" t="s">
        <v>82</v>
      </c>
      <c r="I21" s="18" t="s">
        <v>102</v>
      </c>
      <c r="J21" s="19"/>
      <c r="K21" s="18" t="s">
        <v>103</v>
      </c>
      <c r="L21" s="18" t="s">
        <v>26</v>
      </c>
      <c r="M21" s="19" t="s">
        <v>104</v>
      </c>
      <c r="N21" s="19"/>
      <c r="O21" s="18" t="s">
        <v>72</v>
      </c>
      <c r="P21" s="18" t="s">
        <v>105</v>
      </c>
      <c r="Q21" s="18" t="s">
        <v>106</v>
      </c>
      <c r="R21" s="19"/>
      <c r="S21" s="17" t="str">
        <f>"310,0"</f>
        <v>310,0</v>
      </c>
      <c r="T21" s="18" t="str">
        <f>"241,4125"</f>
        <v>241,4125</v>
      </c>
      <c r="U21" s="17" t="s">
        <v>83</v>
      </c>
    </row>
    <row r="22" spans="1:21" ht="12.75">
      <c r="A22" s="14" t="s">
        <v>108</v>
      </c>
      <c r="B22" s="14" t="s">
        <v>109</v>
      </c>
      <c r="C22" s="14" t="s">
        <v>110</v>
      </c>
      <c r="D22" s="14" t="str">
        <f>"0,7984"</f>
        <v>0,7984</v>
      </c>
      <c r="E22" s="14" t="s">
        <v>24</v>
      </c>
      <c r="F22" s="14" t="s">
        <v>52</v>
      </c>
      <c r="G22" s="16" t="s">
        <v>26</v>
      </c>
      <c r="H22" s="16" t="s">
        <v>28</v>
      </c>
      <c r="I22" s="16" t="s">
        <v>55</v>
      </c>
      <c r="J22" s="15"/>
      <c r="K22" s="16" t="s">
        <v>43</v>
      </c>
      <c r="L22" s="15" t="s">
        <v>45</v>
      </c>
      <c r="M22" s="15" t="s">
        <v>45</v>
      </c>
      <c r="N22" s="15"/>
      <c r="O22" s="16" t="s">
        <v>56</v>
      </c>
      <c r="P22" s="16" t="s">
        <v>79</v>
      </c>
      <c r="Q22" s="16" t="s">
        <v>42</v>
      </c>
      <c r="R22" s="15"/>
      <c r="S22" s="14" t="str">
        <f>"215,0"</f>
        <v>215,0</v>
      </c>
      <c r="T22" s="16" t="str">
        <f>"171,6667"</f>
        <v>171,6667</v>
      </c>
      <c r="U22" s="14" t="s">
        <v>63</v>
      </c>
    </row>
    <row r="24" spans="1:20" ht="15">
      <c r="A24" s="44" t="s">
        <v>111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ht="12.75">
      <c r="A25" s="8" t="s">
        <v>113</v>
      </c>
      <c r="B25" s="8" t="s">
        <v>114</v>
      </c>
      <c r="C25" s="8" t="s">
        <v>115</v>
      </c>
      <c r="D25" s="8" t="str">
        <f>"0,6777"</f>
        <v>0,6777</v>
      </c>
      <c r="E25" s="8" t="s">
        <v>24</v>
      </c>
      <c r="F25" s="8" t="s">
        <v>116</v>
      </c>
      <c r="G25" s="9" t="s">
        <v>56</v>
      </c>
      <c r="H25" s="10" t="s">
        <v>79</v>
      </c>
      <c r="I25" s="9" t="s">
        <v>79</v>
      </c>
      <c r="J25" s="10"/>
      <c r="K25" s="9" t="s">
        <v>27</v>
      </c>
      <c r="L25" s="9" t="s">
        <v>28</v>
      </c>
      <c r="M25" s="10" t="s">
        <v>55</v>
      </c>
      <c r="N25" s="10"/>
      <c r="O25" s="9" t="s">
        <v>117</v>
      </c>
      <c r="P25" s="9" t="s">
        <v>118</v>
      </c>
      <c r="Q25" s="9" t="s">
        <v>89</v>
      </c>
      <c r="R25" s="10"/>
      <c r="S25" s="8" t="str">
        <f>"305,0"</f>
        <v>305,0</v>
      </c>
      <c r="T25" s="9" t="str">
        <f>"206,6985"</f>
        <v>206,6985</v>
      </c>
      <c r="U25" s="8" t="s">
        <v>119</v>
      </c>
    </row>
    <row r="27" spans="1:20" ht="15">
      <c r="A27" s="44" t="s">
        <v>58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1" ht="12.75">
      <c r="A28" s="8" t="s">
        <v>121</v>
      </c>
      <c r="B28" s="8" t="s">
        <v>122</v>
      </c>
      <c r="C28" s="8" t="s">
        <v>123</v>
      </c>
      <c r="D28" s="8" t="str">
        <f>"0,8888"</f>
        <v>0,8888</v>
      </c>
      <c r="E28" s="8" t="s">
        <v>124</v>
      </c>
      <c r="F28" s="8" t="s">
        <v>52</v>
      </c>
      <c r="G28" s="9" t="s">
        <v>46</v>
      </c>
      <c r="H28" s="9" t="s">
        <v>117</v>
      </c>
      <c r="I28" s="10" t="s">
        <v>125</v>
      </c>
      <c r="J28" s="10"/>
      <c r="K28" s="10" t="s">
        <v>71</v>
      </c>
      <c r="L28" s="9" t="s">
        <v>71</v>
      </c>
      <c r="M28" s="10" t="s">
        <v>81</v>
      </c>
      <c r="N28" s="10"/>
      <c r="O28" s="9" t="s">
        <v>126</v>
      </c>
      <c r="P28" s="9" t="s">
        <v>127</v>
      </c>
      <c r="Q28" s="10" t="s">
        <v>128</v>
      </c>
      <c r="R28" s="10"/>
      <c r="S28" s="8" t="str">
        <f>"400,0"</f>
        <v>400,0</v>
      </c>
      <c r="T28" s="9" t="str">
        <f>"355,5200"</f>
        <v>355,5200</v>
      </c>
      <c r="U28" s="8" t="s">
        <v>129</v>
      </c>
    </row>
    <row r="30" spans="1:20" ht="15">
      <c r="A30" s="44" t="s">
        <v>84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1" ht="12.75">
      <c r="A31" s="11" t="s">
        <v>131</v>
      </c>
      <c r="B31" s="11" t="s">
        <v>132</v>
      </c>
      <c r="C31" s="11" t="s">
        <v>133</v>
      </c>
      <c r="D31" s="11" t="str">
        <f>"0,8019"</f>
        <v>0,8019</v>
      </c>
      <c r="E31" s="11" t="s">
        <v>38</v>
      </c>
      <c r="F31" s="11" t="s">
        <v>39</v>
      </c>
      <c r="G31" s="12" t="s">
        <v>71</v>
      </c>
      <c r="H31" s="12" t="s">
        <v>134</v>
      </c>
      <c r="I31" s="12" t="s">
        <v>46</v>
      </c>
      <c r="J31" s="13"/>
      <c r="K31" s="12" t="s">
        <v>28</v>
      </c>
      <c r="L31" s="12" t="s">
        <v>55</v>
      </c>
      <c r="M31" s="12" t="s">
        <v>135</v>
      </c>
      <c r="N31" s="13"/>
      <c r="O31" s="12" t="s">
        <v>134</v>
      </c>
      <c r="P31" s="12" t="s">
        <v>136</v>
      </c>
      <c r="Q31" s="13" t="s">
        <v>137</v>
      </c>
      <c r="R31" s="13"/>
      <c r="S31" s="11" t="str">
        <f>"319,0"</f>
        <v>319,0</v>
      </c>
      <c r="T31" s="12" t="str">
        <f>"314,6415"</f>
        <v>314,6415</v>
      </c>
      <c r="U31" s="11" t="s">
        <v>138</v>
      </c>
    </row>
    <row r="32" spans="1:21" ht="12.75">
      <c r="A32" s="17" t="s">
        <v>140</v>
      </c>
      <c r="B32" s="17" t="s">
        <v>141</v>
      </c>
      <c r="C32" s="17" t="s">
        <v>142</v>
      </c>
      <c r="D32" s="17" t="str">
        <f>"0,7706"</f>
        <v>0,7706</v>
      </c>
      <c r="E32" s="17" t="s">
        <v>24</v>
      </c>
      <c r="F32" s="17" t="s">
        <v>101</v>
      </c>
      <c r="G32" s="18" t="s">
        <v>79</v>
      </c>
      <c r="H32" s="18" t="s">
        <v>42</v>
      </c>
      <c r="I32" s="18" t="s">
        <v>71</v>
      </c>
      <c r="J32" s="19"/>
      <c r="K32" s="18" t="s">
        <v>143</v>
      </c>
      <c r="L32" s="18" t="s">
        <v>104</v>
      </c>
      <c r="M32" s="18" t="s">
        <v>144</v>
      </c>
      <c r="N32" s="19"/>
      <c r="O32" s="18" t="s">
        <v>72</v>
      </c>
      <c r="P32" s="18" t="s">
        <v>105</v>
      </c>
      <c r="Q32" s="18" t="s">
        <v>125</v>
      </c>
      <c r="R32" s="19"/>
      <c r="S32" s="17" t="str">
        <f>"307,5"</f>
        <v>307,5</v>
      </c>
      <c r="T32" s="18" t="str">
        <f>"267,7642"</f>
        <v>267,7642</v>
      </c>
      <c r="U32" s="17" t="s">
        <v>83</v>
      </c>
    </row>
    <row r="33" spans="1:21" ht="12.75">
      <c r="A33" s="14" t="s">
        <v>146</v>
      </c>
      <c r="B33" s="14" t="s">
        <v>147</v>
      </c>
      <c r="C33" s="14" t="s">
        <v>148</v>
      </c>
      <c r="D33" s="14" t="str">
        <f>"0,7625"</f>
        <v>0,7625</v>
      </c>
      <c r="E33" s="14" t="s">
        <v>24</v>
      </c>
      <c r="F33" s="14" t="s">
        <v>149</v>
      </c>
      <c r="G33" s="16" t="s">
        <v>42</v>
      </c>
      <c r="H33" s="16" t="s">
        <v>72</v>
      </c>
      <c r="I33" s="15"/>
      <c r="J33" s="15"/>
      <c r="K33" s="16" t="s">
        <v>56</v>
      </c>
      <c r="L33" s="15" t="s">
        <v>79</v>
      </c>
      <c r="M33" s="15" t="s">
        <v>79</v>
      </c>
      <c r="N33" s="15"/>
      <c r="O33" s="16" t="s">
        <v>126</v>
      </c>
      <c r="P33" s="16" t="s">
        <v>91</v>
      </c>
      <c r="Q33" s="16" t="s">
        <v>127</v>
      </c>
      <c r="R33" s="15"/>
      <c r="S33" s="14" t="str">
        <f>"360,0"</f>
        <v>360,0</v>
      </c>
      <c r="T33" s="16" t="str">
        <f>"365,0850"</f>
        <v>365,0850</v>
      </c>
      <c r="U33" s="14" t="s">
        <v>83</v>
      </c>
    </row>
    <row r="35" spans="1:20" ht="15">
      <c r="A35" s="44" t="s">
        <v>150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1" ht="12.75">
      <c r="A36" s="11" t="s">
        <v>152</v>
      </c>
      <c r="B36" s="11" t="s">
        <v>153</v>
      </c>
      <c r="C36" s="11" t="s">
        <v>154</v>
      </c>
      <c r="D36" s="11" t="str">
        <f>"0,6947"</f>
        <v>0,6947</v>
      </c>
      <c r="E36" s="11" t="s">
        <v>24</v>
      </c>
      <c r="F36" s="11" t="s">
        <v>78</v>
      </c>
      <c r="G36" s="12" t="s">
        <v>126</v>
      </c>
      <c r="H36" s="12" t="s">
        <v>90</v>
      </c>
      <c r="I36" s="12" t="s">
        <v>91</v>
      </c>
      <c r="J36" s="13"/>
      <c r="K36" s="12" t="s">
        <v>46</v>
      </c>
      <c r="L36" s="12" t="s">
        <v>105</v>
      </c>
      <c r="M36" s="13" t="s">
        <v>155</v>
      </c>
      <c r="N36" s="13"/>
      <c r="O36" s="12" t="s">
        <v>156</v>
      </c>
      <c r="P36" s="12" t="s">
        <v>157</v>
      </c>
      <c r="Q36" s="12" t="s">
        <v>158</v>
      </c>
      <c r="R36" s="13"/>
      <c r="S36" s="11" t="str">
        <f>"490,0"</f>
        <v>490,0</v>
      </c>
      <c r="T36" s="12" t="str">
        <f>"340,3986"</f>
        <v>340,3986</v>
      </c>
      <c r="U36" s="11" t="s">
        <v>83</v>
      </c>
    </row>
    <row r="37" spans="1:21" ht="12.75">
      <c r="A37" s="14" t="s">
        <v>160</v>
      </c>
      <c r="B37" s="14" t="s">
        <v>161</v>
      </c>
      <c r="C37" s="14" t="s">
        <v>162</v>
      </c>
      <c r="D37" s="14" t="str">
        <f>"0,6828"</f>
        <v>0,6828</v>
      </c>
      <c r="E37" s="14" t="s">
        <v>24</v>
      </c>
      <c r="F37" s="14" t="s">
        <v>78</v>
      </c>
      <c r="G37" s="15" t="s">
        <v>105</v>
      </c>
      <c r="H37" s="15" t="s">
        <v>117</v>
      </c>
      <c r="I37" s="16" t="s">
        <v>125</v>
      </c>
      <c r="J37" s="15"/>
      <c r="K37" s="16" t="s">
        <v>46</v>
      </c>
      <c r="L37" s="16" t="s">
        <v>105</v>
      </c>
      <c r="M37" s="16" t="s">
        <v>117</v>
      </c>
      <c r="N37" s="15"/>
      <c r="O37" s="16" t="s">
        <v>126</v>
      </c>
      <c r="P37" s="16" t="s">
        <v>91</v>
      </c>
      <c r="Q37" s="16" t="s">
        <v>94</v>
      </c>
      <c r="R37" s="15"/>
      <c r="S37" s="14" t="str">
        <f>"435,0"</f>
        <v>435,0</v>
      </c>
      <c r="T37" s="16" t="str">
        <f>"297,0180"</f>
        <v>297,0180</v>
      </c>
      <c r="U37" s="14" t="s">
        <v>83</v>
      </c>
    </row>
    <row r="39" spans="1:20" ht="15">
      <c r="A39" s="44" t="s">
        <v>111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1" ht="12.75">
      <c r="A40" s="11" t="s">
        <v>164</v>
      </c>
      <c r="B40" s="11" t="s">
        <v>165</v>
      </c>
      <c r="C40" s="11" t="s">
        <v>166</v>
      </c>
      <c r="D40" s="11" t="str">
        <f>"0,6318"</f>
        <v>0,6318</v>
      </c>
      <c r="E40" s="11" t="s">
        <v>24</v>
      </c>
      <c r="F40" s="11" t="s">
        <v>167</v>
      </c>
      <c r="G40" s="12" t="s">
        <v>168</v>
      </c>
      <c r="H40" s="13" t="s">
        <v>158</v>
      </c>
      <c r="I40" s="13"/>
      <c r="J40" s="13"/>
      <c r="K40" s="12" t="s">
        <v>117</v>
      </c>
      <c r="L40" s="13" t="s">
        <v>125</v>
      </c>
      <c r="M40" s="13"/>
      <c r="N40" s="13"/>
      <c r="O40" s="12" t="s">
        <v>169</v>
      </c>
      <c r="P40" s="13" t="s">
        <v>168</v>
      </c>
      <c r="Q40" s="13"/>
      <c r="R40" s="13"/>
      <c r="S40" s="11" t="str">
        <f>"510,0"</f>
        <v>510,0</v>
      </c>
      <c r="T40" s="12" t="str">
        <f>"328,6624"</f>
        <v>328,6624</v>
      </c>
      <c r="U40" s="11" t="s">
        <v>170</v>
      </c>
    </row>
    <row r="41" spans="1:21" ht="12.75">
      <c r="A41" s="17" t="s">
        <v>172</v>
      </c>
      <c r="B41" s="17" t="s">
        <v>173</v>
      </c>
      <c r="C41" s="17" t="s">
        <v>174</v>
      </c>
      <c r="D41" s="17" t="str">
        <f>"0,6198"</f>
        <v>0,6198</v>
      </c>
      <c r="E41" s="17" t="s">
        <v>24</v>
      </c>
      <c r="F41" s="17" t="s">
        <v>78</v>
      </c>
      <c r="G41" s="18" t="s">
        <v>168</v>
      </c>
      <c r="H41" s="18" t="s">
        <v>158</v>
      </c>
      <c r="I41" s="18" t="s">
        <v>175</v>
      </c>
      <c r="J41" s="19"/>
      <c r="K41" s="18" t="s">
        <v>176</v>
      </c>
      <c r="L41" s="18" t="s">
        <v>126</v>
      </c>
      <c r="M41" s="19" t="s">
        <v>91</v>
      </c>
      <c r="N41" s="19"/>
      <c r="O41" s="18" t="s">
        <v>177</v>
      </c>
      <c r="P41" s="18" t="s">
        <v>178</v>
      </c>
      <c r="Q41" s="18" t="s">
        <v>179</v>
      </c>
      <c r="R41" s="19"/>
      <c r="S41" s="17" t="str">
        <f>"622,0"</f>
        <v>622,0</v>
      </c>
      <c r="T41" s="18" t="str">
        <f>"385,5156"</f>
        <v>385,5156</v>
      </c>
      <c r="U41" s="17" t="s">
        <v>83</v>
      </c>
    </row>
    <row r="42" spans="1:21" ht="12.75">
      <c r="A42" s="17" t="s">
        <v>181</v>
      </c>
      <c r="B42" s="17" t="s">
        <v>182</v>
      </c>
      <c r="C42" s="17" t="s">
        <v>183</v>
      </c>
      <c r="D42" s="17" t="str">
        <f>"0,6251"</f>
        <v>0,6251</v>
      </c>
      <c r="E42" s="17" t="s">
        <v>24</v>
      </c>
      <c r="F42" s="17" t="s">
        <v>184</v>
      </c>
      <c r="G42" s="19" t="s">
        <v>157</v>
      </c>
      <c r="H42" s="18" t="s">
        <v>157</v>
      </c>
      <c r="I42" s="19" t="s">
        <v>185</v>
      </c>
      <c r="J42" s="19"/>
      <c r="K42" s="18" t="s">
        <v>81</v>
      </c>
      <c r="L42" s="19" t="s">
        <v>46</v>
      </c>
      <c r="M42" s="19" t="s">
        <v>46</v>
      </c>
      <c r="N42" s="19"/>
      <c r="O42" s="18" t="s">
        <v>186</v>
      </c>
      <c r="P42" s="18" t="s">
        <v>187</v>
      </c>
      <c r="Q42" s="19" t="s">
        <v>179</v>
      </c>
      <c r="R42" s="19"/>
      <c r="S42" s="17" t="str">
        <f>"560,0"</f>
        <v>560,0</v>
      </c>
      <c r="T42" s="18" t="str">
        <f>"350,0560"</f>
        <v>350,0560</v>
      </c>
      <c r="U42" s="17" t="s">
        <v>83</v>
      </c>
    </row>
    <row r="43" spans="1:21" ht="12.75">
      <c r="A43" s="14" t="s">
        <v>189</v>
      </c>
      <c r="B43" s="14" t="s">
        <v>190</v>
      </c>
      <c r="C43" s="14" t="s">
        <v>191</v>
      </c>
      <c r="D43" s="14" t="str">
        <f>"0,6224"</f>
        <v>0,6224</v>
      </c>
      <c r="E43" s="14" t="s">
        <v>24</v>
      </c>
      <c r="F43" s="14" t="s">
        <v>52</v>
      </c>
      <c r="G43" s="16" t="s">
        <v>126</v>
      </c>
      <c r="H43" s="16" t="s">
        <v>127</v>
      </c>
      <c r="I43" s="16" t="s">
        <v>192</v>
      </c>
      <c r="J43" s="15"/>
      <c r="K43" s="16" t="s">
        <v>46</v>
      </c>
      <c r="L43" s="16" t="s">
        <v>117</v>
      </c>
      <c r="M43" s="15" t="s">
        <v>106</v>
      </c>
      <c r="N43" s="15"/>
      <c r="O43" s="16" t="s">
        <v>193</v>
      </c>
      <c r="P43" s="16" t="s">
        <v>194</v>
      </c>
      <c r="Q43" s="16" t="s">
        <v>195</v>
      </c>
      <c r="R43" s="15"/>
      <c r="S43" s="14" t="str">
        <f>"532,5"</f>
        <v>532,5</v>
      </c>
      <c r="T43" s="16" t="str">
        <f>"331,4280"</f>
        <v>331,4280</v>
      </c>
      <c r="U43" s="14" t="s">
        <v>63</v>
      </c>
    </row>
    <row r="45" spans="1:20" ht="15">
      <c r="A45" s="44" t="s">
        <v>196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1" ht="12.75">
      <c r="A46" s="11" t="s">
        <v>198</v>
      </c>
      <c r="B46" s="11" t="s">
        <v>199</v>
      </c>
      <c r="C46" s="11" t="s">
        <v>200</v>
      </c>
      <c r="D46" s="11" t="str">
        <f>"0,5869"</f>
        <v>0,5869</v>
      </c>
      <c r="E46" s="11" t="s">
        <v>124</v>
      </c>
      <c r="F46" s="11" t="s">
        <v>52</v>
      </c>
      <c r="G46" s="13" t="s">
        <v>201</v>
      </c>
      <c r="H46" s="13"/>
      <c r="I46" s="13"/>
      <c r="J46" s="13"/>
      <c r="K46" s="13" t="s">
        <v>117</v>
      </c>
      <c r="L46" s="12" t="s">
        <v>125</v>
      </c>
      <c r="M46" s="12" t="s">
        <v>118</v>
      </c>
      <c r="N46" s="13"/>
      <c r="O46" s="13" t="s">
        <v>201</v>
      </c>
      <c r="P46" s="13"/>
      <c r="Q46" s="13"/>
      <c r="R46" s="13"/>
      <c r="S46" s="11" t="str">
        <f>"0.00"</f>
        <v>0.00</v>
      </c>
      <c r="T46" s="12" t="str">
        <f>"0,0000"</f>
        <v>0,0000</v>
      </c>
      <c r="U46" s="11" t="s">
        <v>83</v>
      </c>
    </row>
    <row r="47" spans="1:21" ht="12.75">
      <c r="A47" s="14" t="s">
        <v>203</v>
      </c>
      <c r="B47" s="14" t="s">
        <v>204</v>
      </c>
      <c r="C47" s="14" t="s">
        <v>205</v>
      </c>
      <c r="D47" s="14" t="str">
        <f>"0,5853"</f>
        <v>0,5853</v>
      </c>
      <c r="E47" s="14" t="s">
        <v>24</v>
      </c>
      <c r="F47" s="14" t="s">
        <v>206</v>
      </c>
      <c r="G47" s="15" t="s">
        <v>207</v>
      </c>
      <c r="H47" s="15" t="s">
        <v>207</v>
      </c>
      <c r="I47" s="15" t="s">
        <v>207</v>
      </c>
      <c r="J47" s="15"/>
      <c r="K47" s="16" t="s">
        <v>128</v>
      </c>
      <c r="L47" s="16" t="s">
        <v>156</v>
      </c>
      <c r="M47" s="15" t="s">
        <v>157</v>
      </c>
      <c r="N47" s="15"/>
      <c r="O47" s="15" t="s">
        <v>201</v>
      </c>
      <c r="P47" s="15"/>
      <c r="Q47" s="15"/>
      <c r="R47" s="15"/>
      <c r="S47" s="14" t="str">
        <f>"0.00"</f>
        <v>0.00</v>
      </c>
      <c r="T47" s="16" t="str">
        <f>"0,0000"</f>
        <v>0,0000</v>
      </c>
      <c r="U47" s="14" t="s">
        <v>83</v>
      </c>
    </row>
    <row r="49" spans="1:20" ht="15">
      <c r="A49" s="44" t="s">
        <v>208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1" ht="12.75">
      <c r="A50" s="11" t="s">
        <v>210</v>
      </c>
      <c r="B50" s="11" t="s">
        <v>211</v>
      </c>
      <c r="C50" s="11" t="s">
        <v>212</v>
      </c>
      <c r="D50" s="11" t="str">
        <f>"0,5678"</f>
        <v>0,5678</v>
      </c>
      <c r="E50" s="11" t="s">
        <v>69</v>
      </c>
      <c r="F50" s="11" t="s">
        <v>70</v>
      </c>
      <c r="G50" s="13" t="s">
        <v>127</v>
      </c>
      <c r="H50" s="12" t="s">
        <v>127</v>
      </c>
      <c r="I50" s="12" t="s">
        <v>192</v>
      </c>
      <c r="J50" s="13"/>
      <c r="K50" s="12" t="s">
        <v>105</v>
      </c>
      <c r="L50" s="13" t="s">
        <v>106</v>
      </c>
      <c r="M50" s="13" t="s">
        <v>106</v>
      </c>
      <c r="N50" s="13"/>
      <c r="O50" s="12" t="s">
        <v>157</v>
      </c>
      <c r="P50" s="12" t="s">
        <v>207</v>
      </c>
      <c r="Q50" s="13"/>
      <c r="R50" s="13"/>
      <c r="S50" s="11" t="str">
        <f>"507,5"</f>
        <v>507,5</v>
      </c>
      <c r="T50" s="12" t="str">
        <f>"305,4480"</f>
        <v>305,4480</v>
      </c>
      <c r="U50" s="11" t="s">
        <v>73</v>
      </c>
    </row>
    <row r="51" spans="1:21" ht="12.75">
      <c r="A51" s="17" t="s">
        <v>214</v>
      </c>
      <c r="B51" s="17" t="s">
        <v>215</v>
      </c>
      <c r="C51" s="17" t="s">
        <v>216</v>
      </c>
      <c r="D51" s="17" t="str">
        <f>"0,5775"</f>
        <v>0,5775</v>
      </c>
      <c r="E51" s="17" t="s">
        <v>69</v>
      </c>
      <c r="F51" s="17" t="s">
        <v>70</v>
      </c>
      <c r="G51" s="19" t="s">
        <v>46</v>
      </c>
      <c r="H51" s="18" t="s">
        <v>105</v>
      </c>
      <c r="I51" s="18" t="s">
        <v>125</v>
      </c>
      <c r="J51" s="19"/>
      <c r="K51" s="18" t="s">
        <v>41</v>
      </c>
      <c r="L51" s="18" t="s">
        <v>71</v>
      </c>
      <c r="M51" s="19" t="s">
        <v>81</v>
      </c>
      <c r="N51" s="19"/>
      <c r="O51" s="18" t="s">
        <v>117</v>
      </c>
      <c r="P51" s="18" t="s">
        <v>89</v>
      </c>
      <c r="Q51" s="18" t="s">
        <v>91</v>
      </c>
      <c r="R51" s="19"/>
      <c r="S51" s="17" t="str">
        <f>"400,0"</f>
        <v>400,0</v>
      </c>
      <c r="T51" s="18" t="str">
        <f>"231,0000"</f>
        <v>231,0000</v>
      </c>
      <c r="U51" s="17" t="s">
        <v>73</v>
      </c>
    </row>
    <row r="52" spans="1:21" ht="12.75">
      <c r="A52" s="17" t="s">
        <v>218</v>
      </c>
      <c r="B52" s="17" t="s">
        <v>219</v>
      </c>
      <c r="C52" s="17" t="s">
        <v>220</v>
      </c>
      <c r="D52" s="17" t="str">
        <f>"0,5540"</f>
        <v>0,5540</v>
      </c>
      <c r="E52" s="17" t="s">
        <v>24</v>
      </c>
      <c r="F52" s="17" t="s">
        <v>221</v>
      </c>
      <c r="G52" s="18" t="s">
        <v>157</v>
      </c>
      <c r="H52" s="18" t="s">
        <v>207</v>
      </c>
      <c r="I52" s="18" t="s">
        <v>185</v>
      </c>
      <c r="J52" s="19"/>
      <c r="K52" s="18" t="s">
        <v>117</v>
      </c>
      <c r="L52" s="18" t="s">
        <v>118</v>
      </c>
      <c r="M52" s="19" t="s">
        <v>176</v>
      </c>
      <c r="N52" s="19"/>
      <c r="O52" s="18" t="s">
        <v>194</v>
      </c>
      <c r="P52" s="18" t="s">
        <v>195</v>
      </c>
      <c r="Q52" s="18" t="s">
        <v>186</v>
      </c>
      <c r="R52" s="19"/>
      <c r="S52" s="17" t="str">
        <f>"595,0"</f>
        <v>595,0</v>
      </c>
      <c r="T52" s="18" t="str">
        <f>"329,6300"</f>
        <v>329,6300</v>
      </c>
      <c r="U52" s="17" t="s">
        <v>83</v>
      </c>
    </row>
    <row r="53" spans="1:21" ht="12.75">
      <c r="A53" s="17" t="s">
        <v>223</v>
      </c>
      <c r="B53" s="17" t="s">
        <v>224</v>
      </c>
      <c r="C53" s="17" t="s">
        <v>225</v>
      </c>
      <c r="D53" s="17" t="str">
        <f>"0,5578"</f>
        <v>0,5578</v>
      </c>
      <c r="E53" s="17" t="s">
        <v>69</v>
      </c>
      <c r="F53" s="17" t="s">
        <v>70</v>
      </c>
      <c r="G53" s="18" t="s">
        <v>118</v>
      </c>
      <c r="H53" s="18" t="s">
        <v>126</v>
      </c>
      <c r="I53" s="19" t="s">
        <v>90</v>
      </c>
      <c r="J53" s="19"/>
      <c r="K53" s="18" t="s">
        <v>46</v>
      </c>
      <c r="L53" s="18" t="s">
        <v>105</v>
      </c>
      <c r="M53" s="19" t="s">
        <v>117</v>
      </c>
      <c r="N53" s="19"/>
      <c r="O53" s="18" t="s">
        <v>94</v>
      </c>
      <c r="P53" s="18" t="s">
        <v>169</v>
      </c>
      <c r="Q53" s="18" t="s">
        <v>168</v>
      </c>
      <c r="R53" s="19"/>
      <c r="S53" s="17" t="str">
        <f>"470,0"</f>
        <v>470,0</v>
      </c>
      <c r="T53" s="18" t="str">
        <f>"262,1660"</f>
        <v>262,1660</v>
      </c>
      <c r="U53" s="17" t="s">
        <v>73</v>
      </c>
    </row>
    <row r="55" spans="1:20" ht="15">
      <c r="A55" s="44" t="s">
        <v>228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1" ht="12.75">
      <c r="A56" s="11" t="s">
        <v>230</v>
      </c>
      <c r="B56" s="11" t="s">
        <v>231</v>
      </c>
      <c r="C56" s="11" t="s">
        <v>232</v>
      </c>
      <c r="D56" s="11" t="str">
        <f>"0,5487"</f>
        <v>0,5487</v>
      </c>
      <c r="E56" s="11" t="s">
        <v>24</v>
      </c>
      <c r="F56" s="11" t="s">
        <v>52</v>
      </c>
      <c r="G56" s="12" t="s">
        <v>94</v>
      </c>
      <c r="H56" s="12" t="s">
        <v>169</v>
      </c>
      <c r="I56" s="13" t="s">
        <v>156</v>
      </c>
      <c r="J56" s="13"/>
      <c r="K56" s="12" t="s">
        <v>126</v>
      </c>
      <c r="L56" s="12" t="s">
        <v>91</v>
      </c>
      <c r="M56" s="12" t="s">
        <v>233</v>
      </c>
      <c r="N56" s="13"/>
      <c r="O56" s="12" t="s">
        <v>207</v>
      </c>
      <c r="P56" s="12" t="s">
        <v>234</v>
      </c>
      <c r="Q56" s="12" t="s">
        <v>235</v>
      </c>
      <c r="R56" s="13"/>
      <c r="S56" s="11" t="str">
        <f>"590,0"</f>
        <v>590,0</v>
      </c>
      <c r="T56" s="12" t="str">
        <f>"323,7330"</f>
        <v>323,7330</v>
      </c>
      <c r="U56" s="11" t="s">
        <v>63</v>
      </c>
    </row>
    <row r="57" spans="1:21" ht="12.75">
      <c r="A57" s="8" t="s">
        <v>237</v>
      </c>
      <c r="B57" s="8" t="s">
        <v>238</v>
      </c>
      <c r="C57" s="8" t="s">
        <v>239</v>
      </c>
      <c r="D57" s="8" t="str">
        <f>"0,5443"</f>
        <v>0,5443</v>
      </c>
      <c r="E57" s="8" t="s">
        <v>24</v>
      </c>
      <c r="F57" s="8" t="s">
        <v>240</v>
      </c>
      <c r="G57" s="9" t="s">
        <v>94</v>
      </c>
      <c r="H57" s="9" t="s">
        <v>169</v>
      </c>
      <c r="I57" s="9" t="s">
        <v>157</v>
      </c>
      <c r="J57" s="10"/>
      <c r="K57" s="9" t="s">
        <v>126</v>
      </c>
      <c r="L57" s="9" t="s">
        <v>91</v>
      </c>
      <c r="M57" s="10" t="s">
        <v>127</v>
      </c>
      <c r="N57" s="10"/>
      <c r="O57" s="9" t="s">
        <v>157</v>
      </c>
      <c r="P57" s="9" t="s">
        <v>194</v>
      </c>
      <c r="Q57" s="10" t="s">
        <v>186</v>
      </c>
      <c r="R57" s="10"/>
      <c r="S57" s="8" t="str">
        <f>"580,0"</f>
        <v>580,0</v>
      </c>
      <c r="T57" s="9" t="str">
        <f>"315,6940"</f>
        <v>315,6940</v>
      </c>
      <c r="U57" s="8" t="s">
        <v>63</v>
      </c>
    </row>
    <row r="59" ht="15">
      <c r="E59" s="6" t="s">
        <v>12</v>
      </c>
    </row>
    <row r="60" ht="15">
      <c r="E60" s="6" t="s">
        <v>13</v>
      </c>
    </row>
    <row r="61" ht="15">
      <c r="E61" s="6" t="s">
        <v>14</v>
      </c>
    </row>
    <row r="62" ht="15">
      <c r="E62" s="6" t="s">
        <v>15</v>
      </c>
    </row>
    <row r="63" ht="15">
      <c r="E63" s="6" t="s">
        <v>15</v>
      </c>
    </row>
    <row r="64" ht="15">
      <c r="E64" s="6" t="s">
        <v>16</v>
      </c>
    </row>
    <row r="65" ht="15">
      <c r="E65" s="6"/>
    </row>
    <row r="67" spans="1:2" ht="18">
      <c r="A67" s="7" t="s">
        <v>17</v>
      </c>
      <c r="B67" s="7"/>
    </row>
    <row r="68" spans="1:2" ht="15">
      <c r="A68" s="20" t="s">
        <v>241</v>
      </c>
      <c r="B68" s="20"/>
    </row>
    <row r="69" spans="1:2" ht="14.25">
      <c r="A69" s="22"/>
      <c r="B69" s="23" t="s">
        <v>242</v>
      </c>
    </row>
    <row r="70" spans="1:5" ht="15">
      <c r="A70" s="24" t="s">
        <v>243</v>
      </c>
      <c r="B70" s="24" t="s">
        <v>244</v>
      </c>
      <c r="C70" s="24" t="s">
        <v>245</v>
      </c>
      <c r="D70" s="24" t="s">
        <v>246</v>
      </c>
      <c r="E70" s="24" t="s">
        <v>247</v>
      </c>
    </row>
    <row r="71" spans="1:5" ht="12.75">
      <c r="A71" s="21" t="s">
        <v>65</v>
      </c>
      <c r="B71" s="4" t="s">
        <v>248</v>
      </c>
      <c r="C71" s="4" t="s">
        <v>26</v>
      </c>
      <c r="D71" s="4" t="s">
        <v>186</v>
      </c>
      <c r="E71" s="25" t="s">
        <v>249</v>
      </c>
    </row>
    <row r="72" spans="1:5" ht="12.75">
      <c r="A72" s="21" t="s">
        <v>20</v>
      </c>
      <c r="B72" s="4" t="s">
        <v>250</v>
      </c>
      <c r="C72" s="4" t="s">
        <v>251</v>
      </c>
      <c r="D72" s="4" t="s">
        <v>127</v>
      </c>
      <c r="E72" s="25" t="s">
        <v>252</v>
      </c>
    </row>
    <row r="74" spans="1:2" ht="14.25">
      <c r="A74" s="22"/>
      <c r="B74" s="23" t="s">
        <v>253</v>
      </c>
    </row>
    <row r="75" spans="1:5" ht="15">
      <c r="A75" s="24" t="s">
        <v>243</v>
      </c>
      <c r="B75" s="24" t="s">
        <v>244</v>
      </c>
      <c r="C75" s="24" t="s">
        <v>245</v>
      </c>
      <c r="D75" s="24" t="s">
        <v>246</v>
      </c>
      <c r="E75" s="24" t="s">
        <v>247</v>
      </c>
    </row>
    <row r="76" spans="1:5" ht="12.75">
      <c r="A76" s="21" t="s">
        <v>85</v>
      </c>
      <c r="B76" s="4" t="s">
        <v>253</v>
      </c>
      <c r="C76" s="4" t="s">
        <v>144</v>
      </c>
      <c r="D76" s="4" t="s">
        <v>254</v>
      </c>
      <c r="E76" s="25" t="s">
        <v>255</v>
      </c>
    </row>
    <row r="77" spans="1:5" ht="12.75">
      <c r="A77" s="21" t="s">
        <v>34</v>
      </c>
      <c r="B77" s="4" t="s">
        <v>253</v>
      </c>
      <c r="C77" s="4" t="s">
        <v>256</v>
      </c>
      <c r="D77" s="4" t="s">
        <v>187</v>
      </c>
      <c r="E77" s="25" t="s">
        <v>257</v>
      </c>
    </row>
    <row r="78" spans="1:5" ht="12.75">
      <c r="A78" s="21" t="s">
        <v>97</v>
      </c>
      <c r="B78" s="4" t="s">
        <v>253</v>
      </c>
      <c r="C78" s="4" t="s">
        <v>144</v>
      </c>
      <c r="D78" s="4" t="s">
        <v>258</v>
      </c>
      <c r="E78" s="25" t="s">
        <v>259</v>
      </c>
    </row>
    <row r="79" spans="1:5" ht="12.75">
      <c r="A79" s="21" t="s">
        <v>74</v>
      </c>
      <c r="B79" s="4" t="s">
        <v>253</v>
      </c>
      <c r="C79" s="4" t="s">
        <v>26</v>
      </c>
      <c r="D79" s="4" t="s">
        <v>186</v>
      </c>
      <c r="E79" s="25" t="s">
        <v>260</v>
      </c>
    </row>
    <row r="80" spans="1:5" ht="12.75">
      <c r="A80" s="21" t="s">
        <v>112</v>
      </c>
      <c r="B80" s="4" t="s">
        <v>253</v>
      </c>
      <c r="C80" s="4" t="s">
        <v>261</v>
      </c>
      <c r="D80" s="4" t="s">
        <v>262</v>
      </c>
      <c r="E80" s="25" t="s">
        <v>263</v>
      </c>
    </row>
    <row r="81" spans="1:5" ht="12.75">
      <c r="A81" s="21" t="s">
        <v>48</v>
      </c>
      <c r="B81" s="4" t="s">
        <v>253</v>
      </c>
      <c r="C81" s="4" t="s">
        <v>256</v>
      </c>
      <c r="D81" s="4" t="s">
        <v>264</v>
      </c>
      <c r="E81" s="25" t="s">
        <v>265</v>
      </c>
    </row>
    <row r="82" spans="1:5" ht="12.75">
      <c r="A82" s="21" t="s">
        <v>59</v>
      </c>
      <c r="B82" s="4" t="s">
        <v>253</v>
      </c>
      <c r="C82" s="4" t="s">
        <v>266</v>
      </c>
      <c r="D82" s="4" t="s">
        <v>168</v>
      </c>
      <c r="E82" s="25" t="s">
        <v>267</v>
      </c>
    </row>
    <row r="83" spans="1:5" ht="12.75">
      <c r="A83" s="21" t="s">
        <v>107</v>
      </c>
      <c r="B83" s="4" t="s">
        <v>253</v>
      </c>
      <c r="C83" s="4" t="s">
        <v>144</v>
      </c>
      <c r="D83" s="4" t="s">
        <v>185</v>
      </c>
      <c r="E83" s="25" t="s">
        <v>268</v>
      </c>
    </row>
    <row r="86" spans="1:2" ht="15">
      <c r="A86" s="20" t="s">
        <v>269</v>
      </c>
      <c r="B86" s="20"/>
    </row>
    <row r="87" spans="1:2" ht="14.25">
      <c r="A87" s="22"/>
      <c r="B87" s="23" t="s">
        <v>270</v>
      </c>
    </row>
    <row r="88" spans="1:5" ht="15">
      <c r="A88" s="24" t="s">
        <v>243</v>
      </c>
      <c r="B88" s="24" t="s">
        <v>244</v>
      </c>
      <c r="C88" s="24" t="s">
        <v>245</v>
      </c>
      <c r="D88" s="24" t="s">
        <v>246</v>
      </c>
      <c r="E88" s="24" t="s">
        <v>247</v>
      </c>
    </row>
    <row r="89" spans="1:5" ht="12.75">
      <c r="A89" s="21" t="s">
        <v>130</v>
      </c>
      <c r="B89" s="4" t="s">
        <v>271</v>
      </c>
      <c r="C89" s="4" t="s">
        <v>144</v>
      </c>
      <c r="D89" s="4" t="s">
        <v>272</v>
      </c>
      <c r="E89" s="25" t="s">
        <v>273</v>
      </c>
    </row>
    <row r="90" spans="1:5" ht="12.75">
      <c r="A90" s="21" t="s">
        <v>209</v>
      </c>
      <c r="B90" s="4" t="s">
        <v>250</v>
      </c>
      <c r="C90" s="4" t="s">
        <v>42</v>
      </c>
      <c r="D90" s="4" t="s">
        <v>274</v>
      </c>
      <c r="E90" s="25" t="s">
        <v>275</v>
      </c>
    </row>
    <row r="91" spans="1:5" ht="12.75">
      <c r="A91" s="21" t="s">
        <v>139</v>
      </c>
      <c r="B91" s="4" t="s">
        <v>248</v>
      </c>
      <c r="C91" s="4" t="s">
        <v>144</v>
      </c>
      <c r="D91" s="4" t="s">
        <v>276</v>
      </c>
      <c r="E91" s="25" t="s">
        <v>277</v>
      </c>
    </row>
    <row r="93" spans="1:2" ht="14.25">
      <c r="A93" s="22"/>
      <c r="B93" s="23" t="s">
        <v>278</v>
      </c>
    </row>
    <row r="94" spans="1:5" ht="15">
      <c r="A94" s="24" t="s">
        <v>243</v>
      </c>
      <c r="B94" s="24" t="s">
        <v>244</v>
      </c>
      <c r="C94" s="24" t="s">
        <v>245</v>
      </c>
      <c r="D94" s="24" t="s">
        <v>246</v>
      </c>
      <c r="E94" s="24" t="s">
        <v>247</v>
      </c>
    </row>
    <row r="95" spans="1:5" ht="12.75">
      <c r="A95" s="21" t="s">
        <v>163</v>
      </c>
      <c r="B95" s="4" t="s">
        <v>279</v>
      </c>
      <c r="C95" s="4" t="s">
        <v>261</v>
      </c>
      <c r="D95" s="4" t="s">
        <v>280</v>
      </c>
      <c r="E95" s="25" t="s">
        <v>281</v>
      </c>
    </row>
    <row r="96" spans="1:5" ht="12.75">
      <c r="A96" s="21" t="s">
        <v>213</v>
      </c>
      <c r="B96" s="4" t="s">
        <v>279</v>
      </c>
      <c r="C96" s="4" t="s">
        <v>42</v>
      </c>
      <c r="D96" s="4" t="s">
        <v>282</v>
      </c>
      <c r="E96" s="25" t="s">
        <v>283</v>
      </c>
    </row>
    <row r="98" spans="1:2" ht="14.25">
      <c r="A98" s="22"/>
      <c r="B98" s="23" t="s">
        <v>253</v>
      </c>
    </row>
    <row r="99" spans="1:5" ht="15">
      <c r="A99" s="24" t="s">
        <v>243</v>
      </c>
      <c r="B99" s="24" t="s">
        <v>244</v>
      </c>
      <c r="C99" s="24" t="s">
        <v>245</v>
      </c>
      <c r="D99" s="24" t="s">
        <v>246</v>
      </c>
      <c r="E99" s="24" t="s">
        <v>247</v>
      </c>
    </row>
    <row r="100" spans="1:5" ht="12.75">
      <c r="A100" s="21" t="s">
        <v>171</v>
      </c>
      <c r="B100" s="4" t="s">
        <v>253</v>
      </c>
      <c r="C100" s="4" t="s">
        <v>261</v>
      </c>
      <c r="D100" s="4" t="s">
        <v>284</v>
      </c>
      <c r="E100" s="25" t="s">
        <v>285</v>
      </c>
    </row>
    <row r="101" spans="1:5" ht="12.75">
      <c r="A101" s="21" t="s">
        <v>120</v>
      </c>
      <c r="B101" s="4" t="s">
        <v>253</v>
      </c>
      <c r="C101" s="4" t="s">
        <v>266</v>
      </c>
      <c r="D101" s="4" t="s">
        <v>282</v>
      </c>
      <c r="E101" s="25" t="s">
        <v>286</v>
      </c>
    </row>
    <row r="102" spans="1:5" ht="12.75">
      <c r="A102" s="21" t="s">
        <v>180</v>
      </c>
      <c r="B102" s="4" t="s">
        <v>253</v>
      </c>
      <c r="C102" s="4" t="s">
        <v>261</v>
      </c>
      <c r="D102" s="4" t="s">
        <v>287</v>
      </c>
      <c r="E102" s="25" t="s">
        <v>288</v>
      </c>
    </row>
    <row r="103" spans="1:5" ht="12.75">
      <c r="A103" s="21" t="s">
        <v>151</v>
      </c>
      <c r="B103" s="4" t="s">
        <v>253</v>
      </c>
      <c r="C103" s="4" t="s">
        <v>55</v>
      </c>
      <c r="D103" s="4" t="s">
        <v>289</v>
      </c>
      <c r="E103" s="25" t="s">
        <v>290</v>
      </c>
    </row>
    <row r="104" spans="1:5" ht="12.75">
      <c r="A104" s="21" t="s">
        <v>188</v>
      </c>
      <c r="B104" s="4" t="s">
        <v>253</v>
      </c>
      <c r="C104" s="4" t="s">
        <v>261</v>
      </c>
      <c r="D104" s="4" t="s">
        <v>291</v>
      </c>
      <c r="E104" s="25" t="s">
        <v>292</v>
      </c>
    </row>
    <row r="105" spans="1:5" ht="12.75">
      <c r="A105" s="21" t="s">
        <v>217</v>
      </c>
      <c r="B105" s="4" t="s">
        <v>253</v>
      </c>
      <c r="C105" s="4" t="s">
        <v>42</v>
      </c>
      <c r="D105" s="4" t="s">
        <v>293</v>
      </c>
      <c r="E105" s="25" t="s">
        <v>294</v>
      </c>
    </row>
    <row r="106" spans="1:5" ht="12.75">
      <c r="A106" s="21" t="s">
        <v>229</v>
      </c>
      <c r="B106" s="4" t="s">
        <v>253</v>
      </c>
      <c r="C106" s="4" t="s">
        <v>81</v>
      </c>
      <c r="D106" s="4" t="s">
        <v>295</v>
      </c>
      <c r="E106" s="25" t="s">
        <v>296</v>
      </c>
    </row>
    <row r="107" spans="1:5" ht="12.75">
      <c r="A107" s="21" t="s">
        <v>236</v>
      </c>
      <c r="B107" s="4" t="s">
        <v>253</v>
      </c>
      <c r="C107" s="4" t="s">
        <v>81</v>
      </c>
      <c r="D107" s="4" t="s">
        <v>297</v>
      </c>
      <c r="E107" s="25" t="s">
        <v>298</v>
      </c>
    </row>
    <row r="108" spans="1:5" ht="12.75">
      <c r="A108" s="21" t="s">
        <v>159</v>
      </c>
      <c r="B108" s="4" t="s">
        <v>253</v>
      </c>
      <c r="C108" s="4" t="s">
        <v>55</v>
      </c>
      <c r="D108" s="4" t="s">
        <v>299</v>
      </c>
      <c r="E108" s="25" t="s">
        <v>300</v>
      </c>
    </row>
    <row r="109" spans="1:5" ht="12.75">
      <c r="A109" s="21" t="s">
        <v>222</v>
      </c>
      <c r="B109" s="4" t="s">
        <v>253</v>
      </c>
      <c r="C109" s="4" t="s">
        <v>42</v>
      </c>
      <c r="D109" s="4" t="s">
        <v>301</v>
      </c>
      <c r="E109" s="25" t="s">
        <v>302</v>
      </c>
    </row>
    <row r="111" spans="1:2" ht="14.25">
      <c r="A111" s="22"/>
      <c r="B111" s="23" t="s">
        <v>303</v>
      </c>
    </row>
    <row r="112" spans="1:5" ht="15">
      <c r="A112" s="24" t="s">
        <v>243</v>
      </c>
      <c r="B112" s="24" t="s">
        <v>244</v>
      </c>
      <c r="C112" s="24" t="s">
        <v>245</v>
      </c>
      <c r="D112" s="24" t="s">
        <v>246</v>
      </c>
      <c r="E112" s="24" t="s">
        <v>247</v>
      </c>
    </row>
    <row r="113" spans="1:5" ht="12.75">
      <c r="A113" s="21" t="s">
        <v>145</v>
      </c>
      <c r="B113" s="4" t="s">
        <v>304</v>
      </c>
      <c r="C113" s="4" t="s">
        <v>144</v>
      </c>
      <c r="D113" s="4" t="s">
        <v>305</v>
      </c>
      <c r="E113" s="25" t="s">
        <v>306</v>
      </c>
    </row>
  </sheetData>
  <sheetProtection/>
  <mergeCells count="26"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39:T39"/>
    <mergeCell ref="A45:T45"/>
    <mergeCell ref="A49:T49"/>
    <mergeCell ref="A55:T55"/>
    <mergeCell ref="A15:T15"/>
    <mergeCell ref="A19:T19"/>
    <mergeCell ref="A24:T24"/>
    <mergeCell ref="A27:T27"/>
    <mergeCell ref="A30:T30"/>
    <mergeCell ref="A35:T3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7.25390625" style="4" bestFit="1" customWidth="1"/>
    <col min="7" max="7" width="4.625" style="3" bestFit="1" customWidth="1"/>
    <col min="8" max="8" width="4.625" style="46" bestFit="1" customWidth="1"/>
    <col min="9" max="9" width="7.875" style="4" bestFit="1" customWidth="1"/>
    <col min="10" max="10" width="9.625" style="3" bestFit="1" customWidth="1"/>
    <col min="11" max="11" width="11.00390625" style="4" bestFit="1" customWidth="1"/>
    <col min="12" max="16384" width="9.125" style="3" customWidth="1"/>
  </cols>
  <sheetData>
    <row r="1" spans="1:11" s="2" customFormat="1" ht="28.5" customHeight="1">
      <c r="A1" s="43" t="s">
        <v>917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1" customFormat="1" ht="12.75" customHeight="1">
      <c r="A3" s="36" t="s">
        <v>0</v>
      </c>
      <c r="B3" s="38" t="s">
        <v>9</v>
      </c>
      <c r="C3" s="38" t="s">
        <v>10</v>
      </c>
      <c r="D3" s="40" t="s">
        <v>916</v>
      </c>
      <c r="E3" s="40" t="s">
        <v>7</v>
      </c>
      <c r="F3" s="40" t="s">
        <v>11</v>
      </c>
      <c r="G3" s="40" t="s">
        <v>915</v>
      </c>
      <c r="H3" s="40"/>
      <c r="I3" s="40" t="s">
        <v>914</v>
      </c>
      <c r="J3" s="40" t="s">
        <v>6</v>
      </c>
      <c r="K3" s="29" t="s">
        <v>5</v>
      </c>
    </row>
    <row r="4" spans="1:11" s="1" customFormat="1" ht="21" customHeight="1" thickBot="1">
      <c r="A4" s="37"/>
      <c r="B4" s="39"/>
      <c r="C4" s="39"/>
      <c r="D4" s="39"/>
      <c r="E4" s="39"/>
      <c r="F4" s="39"/>
      <c r="G4" s="27" t="s">
        <v>913</v>
      </c>
      <c r="H4" s="50" t="s">
        <v>912</v>
      </c>
      <c r="I4" s="39"/>
      <c r="J4" s="39"/>
      <c r="K4" s="30"/>
    </row>
    <row r="5" spans="1:10" ht="15">
      <c r="A5" s="41" t="s">
        <v>111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11" t="s">
        <v>911</v>
      </c>
      <c r="B6" s="11" t="s">
        <v>910</v>
      </c>
      <c r="C6" s="11" t="s">
        <v>909</v>
      </c>
      <c r="D6" s="11" t="str">
        <f>"0,7820"</f>
        <v>0,7820</v>
      </c>
      <c r="E6" s="11" t="s">
        <v>124</v>
      </c>
      <c r="F6" s="11" t="s">
        <v>52</v>
      </c>
      <c r="G6" s="12" t="s">
        <v>56</v>
      </c>
      <c r="H6" s="49" t="s">
        <v>43</v>
      </c>
      <c r="I6" s="11" t="str">
        <f>"3200,0"</f>
        <v>3200,0</v>
      </c>
      <c r="J6" s="12" t="str">
        <f>"2502,4000"</f>
        <v>2502,4000</v>
      </c>
      <c r="K6" s="11" t="s">
        <v>83</v>
      </c>
    </row>
    <row r="7" spans="1:11" ht="12.75">
      <c r="A7" s="14" t="s">
        <v>908</v>
      </c>
      <c r="B7" s="14" t="s">
        <v>907</v>
      </c>
      <c r="C7" s="14" t="s">
        <v>465</v>
      </c>
      <c r="D7" s="14" t="str">
        <f>"0,7869"</f>
        <v>0,7869</v>
      </c>
      <c r="E7" s="14" t="s">
        <v>24</v>
      </c>
      <c r="F7" s="14" t="s">
        <v>70</v>
      </c>
      <c r="G7" s="16" t="s">
        <v>56</v>
      </c>
      <c r="H7" s="48" t="s">
        <v>906</v>
      </c>
      <c r="I7" s="14" t="str">
        <f>"2240,0"</f>
        <v>2240,0</v>
      </c>
      <c r="J7" s="16" t="str">
        <f>"1762,6560"</f>
        <v>1762,6560</v>
      </c>
      <c r="K7" s="14" t="s">
        <v>73</v>
      </c>
    </row>
    <row r="9" spans="1:10" ht="15">
      <c r="A9" s="44" t="s">
        <v>196</v>
      </c>
      <c r="B9" s="45"/>
      <c r="C9" s="45"/>
      <c r="D9" s="45"/>
      <c r="E9" s="45"/>
      <c r="F9" s="45"/>
      <c r="G9" s="45"/>
      <c r="H9" s="45"/>
      <c r="I9" s="45"/>
      <c r="J9" s="45"/>
    </row>
    <row r="10" spans="1:11" ht="12.75">
      <c r="A10" s="8" t="s">
        <v>905</v>
      </c>
      <c r="B10" s="8" t="s">
        <v>904</v>
      </c>
      <c r="C10" s="8" t="s">
        <v>481</v>
      </c>
      <c r="D10" s="8" t="str">
        <f>"0,7341"</f>
        <v>0,7341</v>
      </c>
      <c r="E10" s="8" t="s">
        <v>38</v>
      </c>
      <c r="F10" s="8" t="s">
        <v>39</v>
      </c>
      <c r="G10" s="9" t="s">
        <v>903</v>
      </c>
      <c r="H10" s="47" t="s">
        <v>902</v>
      </c>
      <c r="I10" s="8" t="str">
        <f>"2975,0"</f>
        <v>2975,0</v>
      </c>
      <c r="J10" s="9" t="str">
        <f>"2183,9475"</f>
        <v>2183,9475</v>
      </c>
      <c r="K10" s="8" t="s">
        <v>83</v>
      </c>
    </row>
    <row r="12" ht="15">
      <c r="E12" s="6" t="s">
        <v>12</v>
      </c>
    </row>
    <row r="13" ht="15">
      <c r="E13" s="6" t="s">
        <v>13</v>
      </c>
    </row>
    <row r="14" ht="15">
      <c r="E14" s="6" t="s">
        <v>14</v>
      </c>
    </row>
    <row r="15" ht="15">
      <c r="E15" s="6" t="s">
        <v>15</v>
      </c>
    </row>
    <row r="16" ht="15">
      <c r="E16" s="6" t="s">
        <v>15</v>
      </c>
    </row>
    <row r="17" spans="1:5" s="3" customFormat="1" ht="15">
      <c r="A17" s="4"/>
      <c r="B17" s="4"/>
      <c r="C17" s="4"/>
      <c r="D17" s="4"/>
      <c r="E17" s="6" t="s">
        <v>16</v>
      </c>
    </row>
    <row r="18" spans="1:5" s="3" customFormat="1" ht="15">
      <c r="A18" s="4"/>
      <c r="B18" s="4"/>
      <c r="C18" s="4"/>
      <c r="D18" s="4"/>
      <c r="E18" s="6"/>
    </row>
    <row r="20" spans="1:5" s="3" customFormat="1" ht="18">
      <c r="A20" s="7" t="s">
        <v>17</v>
      </c>
      <c r="B20" s="7"/>
      <c r="C20" s="4"/>
      <c r="D20" s="4"/>
      <c r="E20" s="4"/>
    </row>
    <row r="21" spans="1:5" s="3" customFormat="1" ht="15">
      <c r="A21" s="20" t="s">
        <v>269</v>
      </c>
      <c r="B21" s="20"/>
      <c r="C21" s="4"/>
      <c r="D21" s="4"/>
      <c r="E21" s="4"/>
    </row>
    <row r="22" spans="1:5" s="3" customFormat="1" ht="14.25">
      <c r="A22" s="22"/>
      <c r="B22" s="23" t="s">
        <v>253</v>
      </c>
      <c r="C22" s="4"/>
      <c r="D22" s="4"/>
      <c r="E22" s="4"/>
    </row>
    <row r="23" spans="1:5" s="3" customFormat="1" ht="15">
      <c r="A23" s="24" t="s">
        <v>243</v>
      </c>
      <c r="B23" s="24" t="s">
        <v>244</v>
      </c>
      <c r="C23" s="24" t="s">
        <v>245</v>
      </c>
      <c r="D23" s="24" t="s">
        <v>246</v>
      </c>
      <c r="E23" s="24" t="s">
        <v>895</v>
      </c>
    </row>
    <row r="24" spans="1:5" s="3" customFormat="1" ht="12.75">
      <c r="A24" s="21" t="s">
        <v>901</v>
      </c>
      <c r="B24" s="4" t="s">
        <v>253</v>
      </c>
      <c r="C24" s="4" t="s">
        <v>261</v>
      </c>
      <c r="D24" s="4" t="s">
        <v>900</v>
      </c>
      <c r="E24" s="25" t="s">
        <v>899</v>
      </c>
    </row>
    <row r="25" spans="1:5" s="3" customFormat="1" ht="12.75">
      <c r="A25" s="21" t="s">
        <v>898</v>
      </c>
      <c r="B25" s="4" t="s">
        <v>253</v>
      </c>
      <c r="C25" s="4" t="s">
        <v>79</v>
      </c>
      <c r="D25" s="4" t="s">
        <v>897</v>
      </c>
      <c r="E25" s="25" t="s">
        <v>896</v>
      </c>
    </row>
    <row r="27" spans="1:5" s="3" customFormat="1" ht="14.25">
      <c r="A27" s="22"/>
      <c r="B27" s="23" t="s">
        <v>303</v>
      </c>
      <c r="C27" s="4"/>
      <c r="D27" s="4"/>
      <c r="E27" s="4"/>
    </row>
    <row r="28" spans="1:5" s="3" customFormat="1" ht="15">
      <c r="A28" s="24" t="s">
        <v>243</v>
      </c>
      <c r="B28" s="24" t="s">
        <v>244</v>
      </c>
      <c r="C28" s="24" t="s">
        <v>245</v>
      </c>
      <c r="D28" s="24" t="s">
        <v>246</v>
      </c>
      <c r="E28" s="24" t="s">
        <v>895</v>
      </c>
    </row>
    <row r="29" spans="1:5" s="3" customFormat="1" ht="12.75">
      <c r="A29" s="21" t="s">
        <v>894</v>
      </c>
      <c r="B29" s="4" t="s">
        <v>385</v>
      </c>
      <c r="C29" s="4" t="s">
        <v>261</v>
      </c>
      <c r="D29" s="4" t="s">
        <v>893</v>
      </c>
      <c r="E29" s="25" t="s">
        <v>892</v>
      </c>
    </row>
  </sheetData>
  <sheetProtection/>
  <mergeCells count="13">
    <mergeCell ref="I3:I4"/>
    <mergeCell ref="J3:J4"/>
    <mergeCell ref="K3:K4"/>
    <mergeCell ref="A5:J5"/>
    <mergeCell ref="A9:J9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2.25390625" style="4" bestFit="1" customWidth="1"/>
    <col min="7" max="7" width="4.625" style="3" bestFit="1" customWidth="1"/>
    <col min="8" max="8" width="4.625" style="46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3" t="s">
        <v>940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1" customFormat="1" ht="12.75" customHeight="1">
      <c r="A3" s="36" t="s">
        <v>0</v>
      </c>
      <c r="B3" s="38" t="s">
        <v>9</v>
      </c>
      <c r="C3" s="38" t="s">
        <v>10</v>
      </c>
      <c r="D3" s="40" t="s">
        <v>916</v>
      </c>
      <c r="E3" s="40" t="s">
        <v>7</v>
      </c>
      <c r="F3" s="40" t="s">
        <v>11</v>
      </c>
      <c r="G3" s="40" t="s">
        <v>915</v>
      </c>
      <c r="H3" s="40"/>
      <c r="I3" s="40" t="s">
        <v>914</v>
      </c>
      <c r="J3" s="40" t="s">
        <v>6</v>
      </c>
      <c r="K3" s="29" t="s">
        <v>5</v>
      </c>
    </row>
    <row r="4" spans="1:11" s="1" customFormat="1" ht="21" customHeight="1" thickBot="1">
      <c r="A4" s="37"/>
      <c r="B4" s="39"/>
      <c r="C4" s="39"/>
      <c r="D4" s="39"/>
      <c r="E4" s="39"/>
      <c r="F4" s="39"/>
      <c r="G4" s="27" t="s">
        <v>913</v>
      </c>
      <c r="H4" s="50" t="s">
        <v>912</v>
      </c>
      <c r="I4" s="39"/>
      <c r="J4" s="39"/>
      <c r="K4" s="30"/>
    </row>
    <row r="5" spans="1:10" ht="15">
      <c r="A5" s="41" t="s">
        <v>150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8" t="s">
        <v>939</v>
      </c>
      <c r="B6" s="8" t="s">
        <v>938</v>
      </c>
      <c r="C6" s="8" t="s">
        <v>937</v>
      </c>
      <c r="D6" s="8" t="str">
        <f>"0,8097"</f>
        <v>0,8097</v>
      </c>
      <c r="E6" s="8" t="s">
        <v>24</v>
      </c>
      <c r="F6" s="8" t="s">
        <v>936</v>
      </c>
      <c r="G6" s="9" t="s">
        <v>55</v>
      </c>
      <c r="H6" s="47" t="s">
        <v>906</v>
      </c>
      <c r="I6" s="8" t="str">
        <f>"2100,0"</f>
        <v>2100,0</v>
      </c>
      <c r="J6" s="9" t="str">
        <f>"1700,3700"</f>
        <v>1700,3700</v>
      </c>
      <c r="K6" s="8" t="s">
        <v>83</v>
      </c>
    </row>
    <row r="8" spans="1:10" ht="15">
      <c r="A8" s="44" t="s">
        <v>111</v>
      </c>
      <c r="B8" s="45"/>
      <c r="C8" s="45"/>
      <c r="D8" s="45"/>
      <c r="E8" s="45"/>
      <c r="F8" s="45"/>
      <c r="G8" s="45"/>
      <c r="H8" s="45"/>
      <c r="I8" s="45"/>
      <c r="J8" s="45"/>
    </row>
    <row r="9" spans="1:11" ht="12.75">
      <c r="A9" s="8" t="s">
        <v>935</v>
      </c>
      <c r="B9" s="8" t="s">
        <v>934</v>
      </c>
      <c r="C9" s="8" t="s">
        <v>933</v>
      </c>
      <c r="D9" s="8" t="str">
        <f>"0,8062"</f>
        <v>0,8062</v>
      </c>
      <c r="E9" s="8" t="s">
        <v>24</v>
      </c>
      <c r="F9" s="8" t="s">
        <v>25</v>
      </c>
      <c r="G9" s="9" t="s">
        <v>404</v>
      </c>
      <c r="H9" s="47" t="s">
        <v>906</v>
      </c>
      <c r="I9" s="8" t="str">
        <f>"2170,0"</f>
        <v>2170,0</v>
      </c>
      <c r="J9" s="9" t="str">
        <f>"1749,4541"</f>
        <v>1749,4541</v>
      </c>
      <c r="K9" s="8" t="s">
        <v>83</v>
      </c>
    </row>
    <row r="11" spans="1:10" ht="15">
      <c r="A11" s="44" t="s">
        <v>196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1" ht="12.75">
      <c r="A12" s="11" t="s">
        <v>932</v>
      </c>
      <c r="B12" s="11" t="s">
        <v>931</v>
      </c>
      <c r="C12" s="11" t="s">
        <v>930</v>
      </c>
      <c r="D12" s="11" t="str">
        <f>"0,7358"</f>
        <v>0,7358</v>
      </c>
      <c r="E12" s="11" t="s">
        <v>24</v>
      </c>
      <c r="F12" s="11" t="s">
        <v>311</v>
      </c>
      <c r="G12" s="12" t="s">
        <v>903</v>
      </c>
      <c r="H12" s="49" t="s">
        <v>929</v>
      </c>
      <c r="I12" s="11" t="str">
        <f>"2275,0"</f>
        <v>2275,0</v>
      </c>
      <c r="J12" s="12" t="str">
        <f>"1673,9451"</f>
        <v>1673,9451</v>
      </c>
      <c r="K12" s="11" t="s">
        <v>83</v>
      </c>
    </row>
    <row r="13" spans="1:11" ht="12.75">
      <c r="A13" s="14" t="s">
        <v>479</v>
      </c>
      <c r="B13" s="14" t="s">
        <v>480</v>
      </c>
      <c r="C13" s="14" t="s">
        <v>481</v>
      </c>
      <c r="D13" s="14" t="str">
        <f>"0,7341"</f>
        <v>0,7341</v>
      </c>
      <c r="E13" s="14" t="s">
        <v>24</v>
      </c>
      <c r="F13" s="14" t="s">
        <v>52</v>
      </c>
      <c r="G13" s="16" t="s">
        <v>903</v>
      </c>
      <c r="H13" s="48" t="s">
        <v>928</v>
      </c>
      <c r="I13" s="14" t="str">
        <f>"2100,0"</f>
        <v>2100,0</v>
      </c>
      <c r="J13" s="16" t="str">
        <f>"1541,6100"</f>
        <v>1541,6100</v>
      </c>
      <c r="K13" s="14" t="s">
        <v>83</v>
      </c>
    </row>
    <row r="15" ht="15">
      <c r="E15" s="6" t="s">
        <v>12</v>
      </c>
    </row>
    <row r="16" ht="15">
      <c r="E16" s="6" t="s">
        <v>13</v>
      </c>
    </row>
    <row r="17" spans="1:5" s="3" customFormat="1" ht="15">
      <c r="A17" s="4"/>
      <c r="B17" s="4"/>
      <c r="C17" s="4"/>
      <c r="D17" s="4"/>
      <c r="E17" s="6" t="s">
        <v>14</v>
      </c>
    </row>
    <row r="18" spans="1:5" s="3" customFormat="1" ht="15">
      <c r="A18" s="4"/>
      <c r="B18" s="4"/>
      <c r="C18" s="4"/>
      <c r="D18" s="4"/>
      <c r="E18" s="6" t="s">
        <v>15</v>
      </c>
    </row>
    <row r="19" spans="1:5" s="3" customFormat="1" ht="15">
      <c r="A19" s="4"/>
      <c r="B19" s="4"/>
      <c r="C19" s="4"/>
      <c r="D19" s="4"/>
      <c r="E19" s="6" t="s">
        <v>15</v>
      </c>
    </row>
    <row r="20" spans="1:5" s="3" customFormat="1" ht="15">
      <c r="A20" s="4"/>
      <c r="B20" s="4"/>
      <c r="C20" s="4"/>
      <c r="D20" s="4"/>
      <c r="E20" s="6" t="s">
        <v>16</v>
      </c>
    </row>
    <row r="21" spans="1:5" s="3" customFormat="1" ht="15">
      <c r="A21" s="4"/>
      <c r="B21" s="4"/>
      <c r="C21" s="4"/>
      <c r="D21" s="4"/>
      <c r="E21" s="6"/>
    </row>
    <row r="23" spans="1:5" s="3" customFormat="1" ht="18">
      <c r="A23" s="7" t="s">
        <v>17</v>
      </c>
      <c r="B23" s="7"/>
      <c r="C23" s="4"/>
      <c r="D23" s="4"/>
      <c r="E23" s="4"/>
    </row>
    <row r="24" spans="1:5" s="3" customFormat="1" ht="15">
      <c r="A24" s="20" t="s">
        <v>269</v>
      </c>
      <c r="B24" s="20"/>
      <c r="C24" s="4"/>
      <c r="D24" s="4"/>
      <c r="E24" s="4"/>
    </row>
    <row r="25" spans="1:5" s="3" customFormat="1" ht="14.25">
      <c r="A25" s="22"/>
      <c r="B25" s="23" t="s">
        <v>253</v>
      </c>
      <c r="C25" s="4"/>
      <c r="D25" s="4"/>
      <c r="E25" s="4"/>
    </row>
    <row r="26" spans="1:5" s="3" customFormat="1" ht="15">
      <c r="A26" s="24" t="s">
        <v>243</v>
      </c>
      <c r="B26" s="24" t="s">
        <v>244</v>
      </c>
      <c r="C26" s="24" t="s">
        <v>245</v>
      </c>
      <c r="D26" s="24" t="s">
        <v>246</v>
      </c>
      <c r="E26" s="24" t="s">
        <v>895</v>
      </c>
    </row>
    <row r="27" spans="1:5" s="3" customFormat="1" ht="12.75">
      <c r="A27" s="21" t="s">
        <v>927</v>
      </c>
      <c r="B27" s="4" t="s">
        <v>253</v>
      </c>
      <c r="C27" s="4" t="s">
        <v>261</v>
      </c>
      <c r="D27" s="4" t="s">
        <v>926</v>
      </c>
      <c r="E27" s="25" t="s">
        <v>925</v>
      </c>
    </row>
    <row r="28" spans="1:5" s="3" customFormat="1" ht="12.75">
      <c r="A28" s="21" t="s">
        <v>924</v>
      </c>
      <c r="B28" s="4" t="s">
        <v>253</v>
      </c>
      <c r="C28" s="4" t="s">
        <v>55</v>
      </c>
      <c r="D28" s="4" t="s">
        <v>919</v>
      </c>
      <c r="E28" s="25" t="s">
        <v>923</v>
      </c>
    </row>
    <row r="29" spans="1:5" s="3" customFormat="1" ht="12.75">
      <c r="A29" s="21" t="s">
        <v>922</v>
      </c>
      <c r="B29" s="4" t="s">
        <v>253</v>
      </c>
      <c r="C29" s="4" t="s">
        <v>79</v>
      </c>
      <c r="D29" s="4" t="s">
        <v>921</v>
      </c>
      <c r="E29" s="25" t="s">
        <v>920</v>
      </c>
    </row>
    <row r="30" spans="1:5" s="3" customFormat="1" ht="12.75">
      <c r="A30" s="21" t="s">
        <v>478</v>
      </c>
      <c r="B30" s="4" t="s">
        <v>253</v>
      </c>
      <c r="C30" s="4" t="s">
        <v>79</v>
      </c>
      <c r="D30" s="4" t="s">
        <v>919</v>
      </c>
      <c r="E30" s="25" t="s">
        <v>918</v>
      </c>
    </row>
  </sheetData>
  <sheetProtection/>
  <mergeCells count="14">
    <mergeCell ref="A1:K2"/>
    <mergeCell ref="G3:H3"/>
    <mergeCell ref="A3:A4"/>
    <mergeCell ref="B3:B4"/>
    <mergeCell ref="C3:C4"/>
    <mergeCell ref="K3:K4"/>
    <mergeCell ref="F3:F4"/>
    <mergeCell ref="E3:E4"/>
    <mergeCell ref="A5:J5"/>
    <mergeCell ref="A8:J8"/>
    <mergeCell ref="A11:J11"/>
    <mergeCell ref="D3:D4"/>
    <mergeCell ref="I3:I4"/>
    <mergeCell ref="J3:J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8.25390625" style="25" bestFit="1" customWidth="1"/>
    <col min="2" max="2" width="28.625" style="51" bestFit="1" customWidth="1"/>
    <col min="3" max="3" width="10.625" style="51" bestFit="1" customWidth="1"/>
    <col min="4" max="4" width="9.25390625" style="51" bestFit="1" customWidth="1"/>
    <col min="5" max="5" width="22.75390625" style="52" bestFit="1" customWidth="1"/>
    <col min="6" max="6" width="32.25390625" style="52" bestFit="1" customWidth="1"/>
    <col min="7" max="8" width="4.625" style="51" bestFit="1" customWidth="1"/>
    <col min="9" max="9" width="5.625" style="51" bestFit="1" customWidth="1"/>
    <col min="10" max="12" width="4.625" style="51" bestFit="1" customWidth="1"/>
    <col min="13" max="13" width="2.125" style="51" bestFit="1" customWidth="1"/>
    <col min="14" max="14" width="4.625" style="51" bestFit="1" customWidth="1"/>
    <col min="15" max="15" width="7.875" style="25" bestFit="1" customWidth="1"/>
    <col min="16" max="16" width="8.625" style="51" bestFit="1" customWidth="1"/>
    <col min="17" max="17" width="8.875" style="52" bestFit="1" customWidth="1"/>
    <col min="18" max="16384" width="9.125" style="51" customWidth="1"/>
  </cols>
  <sheetData>
    <row r="1" spans="1:17" ht="28.5" customHeight="1">
      <c r="A1" s="68" t="s">
        <v>948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6"/>
    </row>
    <row r="2" spans="1:17" ht="61.5" customHeight="1" thickBo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3"/>
    </row>
    <row r="3" spans="1:17" s="1" customFormat="1" ht="12.75" customHeight="1">
      <c r="A3" s="36" t="s">
        <v>0</v>
      </c>
      <c r="B3" s="38" t="s">
        <v>9</v>
      </c>
      <c r="C3" s="38" t="s">
        <v>947</v>
      </c>
      <c r="D3" s="40" t="s">
        <v>18</v>
      </c>
      <c r="E3" s="40" t="s">
        <v>7</v>
      </c>
      <c r="F3" s="40" t="s">
        <v>11</v>
      </c>
      <c r="G3" s="40" t="s">
        <v>946</v>
      </c>
      <c r="H3" s="40"/>
      <c r="I3" s="40"/>
      <c r="J3" s="40"/>
      <c r="K3" s="40" t="s">
        <v>945</v>
      </c>
      <c r="L3" s="40"/>
      <c r="M3" s="40"/>
      <c r="N3" s="40"/>
      <c r="O3" s="40" t="s">
        <v>4</v>
      </c>
      <c r="P3" s="40" t="s">
        <v>6</v>
      </c>
      <c r="Q3" s="29" t="s">
        <v>5</v>
      </c>
    </row>
    <row r="4" spans="1:17" s="1" customFormat="1" ht="21" customHeight="1" thickBot="1">
      <c r="A4" s="37"/>
      <c r="B4" s="39"/>
      <c r="C4" s="39"/>
      <c r="D4" s="39"/>
      <c r="E4" s="39"/>
      <c r="F4" s="39"/>
      <c r="G4" s="62">
        <v>1</v>
      </c>
      <c r="H4" s="62">
        <v>2</v>
      </c>
      <c r="I4" s="62">
        <v>3</v>
      </c>
      <c r="J4" s="62" t="s">
        <v>8</v>
      </c>
      <c r="K4" s="62">
        <v>1</v>
      </c>
      <c r="L4" s="62">
        <v>2</v>
      </c>
      <c r="M4" s="62">
        <v>3</v>
      </c>
      <c r="N4" s="62" t="s">
        <v>8</v>
      </c>
      <c r="O4" s="39"/>
      <c r="P4" s="39"/>
      <c r="Q4" s="30"/>
    </row>
    <row r="5" spans="1:16" ht="15">
      <c r="A5" s="41" t="s">
        <v>208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ht="12.75">
      <c r="A6" s="61" t="s">
        <v>944</v>
      </c>
      <c r="B6" s="60" t="s">
        <v>943</v>
      </c>
      <c r="C6" s="60" t="s">
        <v>344</v>
      </c>
      <c r="D6" s="60" t="str">
        <f>"0,5608"</f>
        <v>0,5608</v>
      </c>
      <c r="E6" s="59" t="s">
        <v>24</v>
      </c>
      <c r="F6" s="59" t="s">
        <v>311</v>
      </c>
      <c r="G6" s="60" t="s">
        <v>79</v>
      </c>
      <c r="H6" s="60" t="s">
        <v>41</v>
      </c>
      <c r="I6" s="60" t="s">
        <v>42</v>
      </c>
      <c r="J6" s="10"/>
      <c r="K6" s="60" t="s">
        <v>144</v>
      </c>
      <c r="L6" s="60" t="s">
        <v>942</v>
      </c>
      <c r="M6" s="10"/>
      <c r="N6" s="10"/>
      <c r="O6" s="61" t="str">
        <f>"172,5"</f>
        <v>172,5</v>
      </c>
      <c r="P6" s="60" t="str">
        <f>"103,4129"</f>
        <v>103,4129</v>
      </c>
      <c r="Q6" s="59" t="s">
        <v>83</v>
      </c>
    </row>
    <row r="8" ht="15">
      <c r="E8" s="6" t="s">
        <v>12</v>
      </c>
    </row>
    <row r="9" ht="15">
      <c r="E9" s="6" t="s">
        <v>13</v>
      </c>
    </row>
    <row r="10" ht="15">
      <c r="E10" s="6" t="s">
        <v>14</v>
      </c>
    </row>
    <row r="11" ht="15">
      <c r="E11" s="6" t="s">
        <v>15</v>
      </c>
    </row>
    <row r="12" ht="15">
      <c r="E12" s="6" t="s">
        <v>15</v>
      </c>
    </row>
    <row r="13" ht="15">
      <c r="E13" s="6" t="s">
        <v>16</v>
      </c>
    </row>
    <row r="14" ht="15">
      <c r="E14" s="6"/>
    </row>
    <row r="16" spans="1:2" ht="18">
      <c r="A16" s="58" t="s">
        <v>17</v>
      </c>
      <c r="B16" s="57"/>
    </row>
    <row r="17" spans="1:5" s="51" customFormat="1" ht="15">
      <c r="A17" s="56" t="s">
        <v>269</v>
      </c>
      <c r="B17" s="28"/>
      <c r="E17" s="52"/>
    </row>
    <row r="18" spans="1:5" s="51" customFormat="1" ht="14.25">
      <c r="A18" s="55"/>
      <c r="B18" s="54" t="s">
        <v>303</v>
      </c>
      <c r="E18" s="52"/>
    </row>
    <row r="19" spans="1:5" s="51" customFormat="1" ht="15">
      <c r="A19" s="24" t="s">
        <v>243</v>
      </c>
      <c r="B19" s="24" t="s">
        <v>244</v>
      </c>
      <c r="C19" s="24" t="s">
        <v>245</v>
      </c>
      <c r="D19" s="24" t="s">
        <v>246</v>
      </c>
      <c r="E19" s="24" t="s">
        <v>247</v>
      </c>
    </row>
    <row r="20" spans="1:5" s="51" customFormat="1" ht="12.75">
      <c r="A20" s="53" t="s">
        <v>341</v>
      </c>
      <c r="B20" s="51" t="s">
        <v>741</v>
      </c>
      <c r="C20" s="51" t="s">
        <v>42</v>
      </c>
      <c r="D20" s="51" t="s">
        <v>192</v>
      </c>
      <c r="E20" s="25" t="s">
        <v>941</v>
      </c>
    </row>
  </sheetData>
  <sheetProtection/>
  <mergeCells count="13">
    <mergeCell ref="F3:F4"/>
    <mergeCell ref="G3:J3"/>
    <mergeCell ref="K3:N3"/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8.25390625" style="25" bestFit="1" customWidth="1"/>
    <col min="2" max="2" width="28.625" style="51" bestFit="1" customWidth="1"/>
    <col min="3" max="3" width="10.625" style="51" bestFit="1" customWidth="1"/>
    <col min="4" max="4" width="9.25390625" style="51" bestFit="1" customWidth="1"/>
    <col min="5" max="5" width="22.75390625" style="52" bestFit="1" customWidth="1"/>
    <col min="6" max="6" width="38.25390625" style="52" bestFit="1" customWidth="1"/>
    <col min="7" max="7" width="4.625" style="51" bestFit="1" customWidth="1"/>
    <col min="8" max="9" width="5.625" style="51" bestFit="1" customWidth="1"/>
    <col min="10" max="14" width="4.625" style="51" bestFit="1" customWidth="1"/>
    <col min="15" max="15" width="7.875" style="25" bestFit="1" customWidth="1"/>
    <col min="16" max="16" width="8.625" style="51" bestFit="1" customWidth="1"/>
    <col min="17" max="17" width="15.625" style="52" bestFit="1" customWidth="1"/>
    <col min="18" max="16384" width="9.125" style="51" customWidth="1"/>
  </cols>
  <sheetData>
    <row r="1" spans="1:17" ht="28.5" customHeight="1">
      <c r="A1" s="68" t="s">
        <v>960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6"/>
    </row>
    <row r="2" spans="1:17" ht="61.5" customHeight="1" thickBo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3"/>
    </row>
    <row r="3" spans="1:17" s="1" customFormat="1" ht="12.75" customHeight="1">
      <c r="A3" s="36" t="s">
        <v>0</v>
      </c>
      <c r="B3" s="38" t="s">
        <v>9</v>
      </c>
      <c r="C3" s="38" t="s">
        <v>947</v>
      </c>
      <c r="D3" s="40" t="s">
        <v>18</v>
      </c>
      <c r="E3" s="40" t="s">
        <v>7</v>
      </c>
      <c r="F3" s="40" t="s">
        <v>11</v>
      </c>
      <c r="G3" s="40" t="s">
        <v>946</v>
      </c>
      <c r="H3" s="40"/>
      <c r="I3" s="40"/>
      <c r="J3" s="40"/>
      <c r="K3" s="40" t="s">
        <v>945</v>
      </c>
      <c r="L3" s="40"/>
      <c r="M3" s="40"/>
      <c r="N3" s="40"/>
      <c r="O3" s="40" t="s">
        <v>4</v>
      </c>
      <c r="P3" s="40" t="s">
        <v>6</v>
      </c>
      <c r="Q3" s="29" t="s">
        <v>5</v>
      </c>
    </row>
    <row r="4" spans="1:17" s="1" customFormat="1" ht="21" customHeight="1" thickBot="1">
      <c r="A4" s="37"/>
      <c r="B4" s="39"/>
      <c r="C4" s="39"/>
      <c r="D4" s="39"/>
      <c r="E4" s="39"/>
      <c r="F4" s="39"/>
      <c r="G4" s="62">
        <v>1</v>
      </c>
      <c r="H4" s="62">
        <v>2</v>
      </c>
      <c r="I4" s="62">
        <v>3</v>
      </c>
      <c r="J4" s="62" t="s">
        <v>8</v>
      </c>
      <c r="K4" s="62">
        <v>1</v>
      </c>
      <c r="L4" s="62">
        <v>2</v>
      </c>
      <c r="M4" s="62">
        <v>3</v>
      </c>
      <c r="N4" s="62" t="s">
        <v>8</v>
      </c>
      <c r="O4" s="39"/>
      <c r="P4" s="39"/>
      <c r="Q4" s="30"/>
    </row>
    <row r="5" spans="1:16" ht="15">
      <c r="A5" s="41" t="s">
        <v>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ht="12.75">
      <c r="A6" s="61" t="s">
        <v>421</v>
      </c>
      <c r="B6" s="60" t="s">
        <v>422</v>
      </c>
      <c r="C6" s="60" t="s">
        <v>423</v>
      </c>
      <c r="D6" s="60" t="str">
        <f>"0,7273"</f>
        <v>0,7273</v>
      </c>
      <c r="E6" s="59" t="s">
        <v>24</v>
      </c>
      <c r="F6" s="59" t="s">
        <v>116</v>
      </c>
      <c r="G6" s="60" t="s">
        <v>44</v>
      </c>
      <c r="H6" s="60" t="s">
        <v>45</v>
      </c>
      <c r="I6" s="10"/>
      <c r="J6" s="10"/>
      <c r="K6" s="10" t="s">
        <v>398</v>
      </c>
      <c r="L6" s="60" t="s">
        <v>398</v>
      </c>
      <c r="M6" s="60" t="s">
        <v>956</v>
      </c>
      <c r="N6" s="10"/>
      <c r="O6" s="61" t="str">
        <f>"97,5"</f>
        <v>97,5</v>
      </c>
      <c r="P6" s="60" t="str">
        <f>"70,9117"</f>
        <v>70,9117</v>
      </c>
      <c r="Q6" s="59" t="s">
        <v>424</v>
      </c>
    </row>
    <row r="8" spans="1:16" ht="15">
      <c r="A8" s="44" t="s">
        <v>150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7" ht="12.75">
      <c r="A9" s="61" t="s">
        <v>959</v>
      </c>
      <c r="B9" s="60" t="s">
        <v>958</v>
      </c>
      <c r="C9" s="60" t="s">
        <v>957</v>
      </c>
      <c r="D9" s="60" t="str">
        <f>"0,6645"</f>
        <v>0,6645</v>
      </c>
      <c r="E9" s="59" t="s">
        <v>24</v>
      </c>
      <c r="F9" s="59" t="s">
        <v>116</v>
      </c>
      <c r="G9" s="10" t="s">
        <v>942</v>
      </c>
      <c r="H9" s="60" t="s">
        <v>942</v>
      </c>
      <c r="I9" s="60" t="s">
        <v>55</v>
      </c>
      <c r="J9" s="10"/>
      <c r="K9" s="60" t="s">
        <v>103</v>
      </c>
      <c r="L9" s="60" t="s">
        <v>143</v>
      </c>
      <c r="M9" s="10" t="s">
        <v>26</v>
      </c>
      <c r="N9" s="10"/>
      <c r="O9" s="61" t="str">
        <f>"132,5"</f>
        <v>132,5</v>
      </c>
      <c r="P9" s="60" t="str">
        <f>"88,0462"</f>
        <v>88,0462</v>
      </c>
      <c r="Q9" s="59" t="s">
        <v>83</v>
      </c>
    </row>
    <row r="10" spans="1:17" ht="12.75">
      <c r="A10" s="61" t="s">
        <v>438</v>
      </c>
      <c r="B10" s="60" t="s">
        <v>439</v>
      </c>
      <c r="C10" s="60" t="s">
        <v>440</v>
      </c>
      <c r="D10" s="60" t="str">
        <f>"0,6752"</f>
        <v>0,6752</v>
      </c>
      <c r="E10" s="59" t="s">
        <v>24</v>
      </c>
      <c r="F10" s="59" t="s">
        <v>116</v>
      </c>
      <c r="G10" s="60" t="s">
        <v>26</v>
      </c>
      <c r="H10" s="60" t="s">
        <v>28</v>
      </c>
      <c r="I10" s="10" t="s">
        <v>201</v>
      </c>
      <c r="J10" s="10"/>
      <c r="K10" s="60" t="s">
        <v>43</v>
      </c>
      <c r="L10" s="60" t="s">
        <v>956</v>
      </c>
      <c r="M10" s="10" t="s">
        <v>955</v>
      </c>
      <c r="N10" s="10"/>
      <c r="O10" s="61" t="str">
        <f>"117,5"</f>
        <v>117,5</v>
      </c>
      <c r="P10" s="60" t="str">
        <f>"79,3360"</f>
        <v>79,3360</v>
      </c>
      <c r="Q10" s="59" t="s">
        <v>83</v>
      </c>
    </row>
    <row r="12" spans="1:16" ht="15">
      <c r="A12" s="44" t="s">
        <v>111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7" ht="12.75">
      <c r="A13" s="61" t="s">
        <v>172</v>
      </c>
      <c r="B13" s="60" t="s">
        <v>173</v>
      </c>
      <c r="C13" s="60" t="s">
        <v>174</v>
      </c>
      <c r="D13" s="60" t="str">
        <f>"0,6198"</f>
        <v>0,6198</v>
      </c>
      <c r="E13" s="59" t="s">
        <v>24</v>
      </c>
      <c r="F13" s="59" t="s">
        <v>78</v>
      </c>
      <c r="G13" s="60" t="s">
        <v>41</v>
      </c>
      <c r="H13" s="60" t="s">
        <v>42</v>
      </c>
      <c r="I13" s="60" t="s">
        <v>429</v>
      </c>
      <c r="J13" s="10"/>
      <c r="K13" s="60" t="s">
        <v>103</v>
      </c>
      <c r="L13" s="10" t="s">
        <v>26</v>
      </c>
      <c r="M13" s="60" t="s">
        <v>104</v>
      </c>
      <c r="N13" s="10"/>
      <c r="O13" s="61" t="str">
        <f>"165,0"</f>
        <v>165,0</v>
      </c>
      <c r="P13" s="60" t="str">
        <f>"102,2670"</f>
        <v>102,2670</v>
      </c>
      <c r="Q13" s="59" t="s">
        <v>83</v>
      </c>
    </row>
    <row r="15" spans="1:16" ht="1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7" spans="1:5" s="51" customFormat="1" ht="15">
      <c r="A17" s="25"/>
      <c r="E17" s="6" t="s">
        <v>12</v>
      </c>
    </row>
    <row r="18" spans="1:5" s="51" customFormat="1" ht="15">
      <c r="A18" s="25"/>
      <c r="E18" s="6" t="s">
        <v>13</v>
      </c>
    </row>
    <row r="19" spans="1:5" s="51" customFormat="1" ht="15">
      <c r="A19" s="25"/>
      <c r="E19" s="6" t="s">
        <v>14</v>
      </c>
    </row>
    <row r="20" spans="1:5" s="51" customFormat="1" ht="15">
      <c r="A20" s="25"/>
      <c r="E20" s="6" t="s">
        <v>15</v>
      </c>
    </row>
    <row r="21" spans="1:5" s="51" customFormat="1" ht="15">
      <c r="A21" s="25"/>
      <c r="E21" s="6" t="s">
        <v>15</v>
      </c>
    </row>
    <row r="22" spans="1:5" s="51" customFormat="1" ht="15">
      <c r="A22" s="25"/>
      <c r="E22" s="6" t="s">
        <v>16</v>
      </c>
    </row>
    <row r="23" spans="1:5" s="51" customFormat="1" ht="15">
      <c r="A23" s="25"/>
      <c r="E23" s="6"/>
    </row>
    <row r="25" spans="1:5" s="51" customFormat="1" ht="18">
      <c r="A25" s="58" t="s">
        <v>17</v>
      </c>
      <c r="B25" s="57"/>
      <c r="E25" s="52"/>
    </row>
    <row r="26" spans="1:5" s="51" customFormat="1" ht="15">
      <c r="A26" s="56" t="s">
        <v>269</v>
      </c>
      <c r="B26" s="28"/>
      <c r="E26" s="52"/>
    </row>
    <row r="27" spans="1:5" s="51" customFormat="1" ht="14.25">
      <c r="A27" s="55"/>
      <c r="B27" s="54" t="s">
        <v>278</v>
      </c>
      <c r="E27" s="52"/>
    </row>
    <row r="28" spans="1:5" s="51" customFormat="1" ht="15">
      <c r="A28" s="24" t="s">
        <v>243</v>
      </c>
      <c r="B28" s="24" t="s">
        <v>244</v>
      </c>
      <c r="C28" s="24" t="s">
        <v>245</v>
      </c>
      <c r="D28" s="24" t="s">
        <v>246</v>
      </c>
      <c r="E28" s="24" t="s">
        <v>247</v>
      </c>
    </row>
    <row r="29" spans="1:5" s="51" customFormat="1" ht="12.75">
      <c r="A29" s="53" t="s">
        <v>954</v>
      </c>
      <c r="B29" s="51" t="s">
        <v>279</v>
      </c>
      <c r="C29" s="51" t="s">
        <v>55</v>
      </c>
      <c r="D29" s="51" t="s">
        <v>106</v>
      </c>
      <c r="E29" s="25" t="s">
        <v>953</v>
      </c>
    </row>
    <row r="31" spans="1:5" s="51" customFormat="1" ht="14.25">
      <c r="A31" s="55"/>
      <c r="B31" s="54" t="s">
        <v>253</v>
      </c>
      <c r="E31" s="52"/>
    </row>
    <row r="32" spans="1:5" s="51" customFormat="1" ht="15">
      <c r="A32" s="24" t="s">
        <v>243</v>
      </c>
      <c r="B32" s="24" t="s">
        <v>244</v>
      </c>
      <c r="C32" s="24" t="s">
        <v>245</v>
      </c>
      <c r="D32" s="24" t="s">
        <v>246</v>
      </c>
      <c r="E32" s="24" t="s">
        <v>247</v>
      </c>
    </row>
    <row r="33" spans="1:5" s="51" customFormat="1" ht="12.75">
      <c r="A33" s="53" t="s">
        <v>171</v>
      </c>
      <c r="B33" s="51" t="s">
        <v>253</v>
      </c>
      <c r="C33" s="51" t="s">
        <v>261</v>
      </c>
      <c r="D33" s="51" t="s">
        <v>127</v>
      </c>
      <c r="E33" s="25" t="s">
        <v>952</v>
      </c>
    </row>
    <row r="34" spans="1:5" s="51" customFormat="1" ht="12.75">
      <c r="A34" s="53" t="s">
        <v>437</v>
      </c>
      <c r="B34" s="51" t="s">
        <v>253</v>
      </c>
      <c r="C34" s="51" t="s">
        <v>55</v>
      </c>
      <c r="D34" s="51" t="s">
        <v>102</v>
      </c>
      <c r="E34" s="25" t="s">
        <v>951</v>
      </c>
    </row>
    <row r="35" spans="1:5" s="51" customFormat="1" ht="12.75">
      <c r="A35" s="53" t="s">
        <v>420</v>
      </c>
      <c r="B35" s="51" t="s">
        <v>253</v>
      </c>
      <c r="C35" s="51" t="s">
        <v>144</v>
      </c>
      <c r="D35" s="51" t="s">
        <v>950</v>
      </c>
      <c r="E35" s="25" t="s">
        <v>949</v>
      </c>
    </row>
  </sheetData>
  <sheetProtection/>
  <mergeCells count="16">
    <mergeCell ref="A1:Q2"/>
    <mergeCell ref="G3:J3"/>
    <mergeCell ref="K3:N3"/>
    <mergeCell ref="A3:A4"/>
    <mergeCell ref="B3:B4"/>
    <mergeCell ref="C3:C4"/>
    <mergeCell ref="Q3:Q4"/>
    <mergeCell ref="F3:F4"/>
    <mergeCell ref="E3:E4"/>
    <mergeCell ref="A5:P5"/>
    <mergeCell ref="A8:P8"/>
    <mergeCell ref="A12:P12"/>
    <mergeCell ref="A15:P15"/>
    <mergeCell ref="D3:D4"/>
    <mergeCell ref="O3:O4"/>
    <mergeCell ref="P3:P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6.875" style="0" customWidth="1"/>
    <col min="2" max="2" width="27.625" style="0" customWidth="1"/>
    <col min="3" max="3" width="9.25390625" style="0" customWidth="1"/>
    <col min="5" max="5" width="13.125" style="0" customWidth="1"/>
    <col min="6" max="6" width="30.00390625" style="0" customWidth="1"/>
    <col min="10" max="10" width="6.875" style="0" customWidth="1"/>
    <col min="11" max="11" width="11.375" style="0" customWidth="1"/>
    <col min="12" max="12" width="8.00390625" style="0" customWidth="1"/>
    <col min="13" max="13" width="22.375" style="0" customWidth="1"/>
  </cols>
  <sheetData>
    <row r="1" spans="1:13" ht="12.75">
      <c r="A1" s="68" t="s">
        <v>979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</row>
    <row r="2" spans="1:13" ht="77.25" customHeight="1" thickBo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3"/>
    </row>
    <row r="3" spans="1:13" ht="15">
      <c r="A3" s="36" t="s">
        <v>0</v>
      </c>
      <c r="B3" s="38" t="s">
        <v>9</v>
      </c>
      <c r="C3" s="38" t="s">
        <v>947</v>
      </c>
      <c r="D3" s="40" t="s">
        <v>18</v>
      </c>
      <c r="E3" s="40" t="s">
        <v>7</v>
      </c>
      <c r="F3" s="40" t="s">
        <v>11</v>
      </c>
      <c r="G3" s="40" t="s">
        <v>945</v>
      </c>
      <c r="H3" s="40"/>
      <c r="I3" s="40"/>
      <c r="J3" s="40"/>
      <c r="K3" s="40" t="s">
        <v>4</v>
      </c>
      <c r="L3" s="40" t="s">
        <v>6</v>
      </c>
      <c r="M3" s="29" t="s">
        <v>5</v>
      </c>
    </row>
    <row r="4" spans="1:13" ht="15" thickBot="1">
      <c r="A4" s="37"/>
      <c r="B4" s="39"/>
      <c r="C4" s="39"/>
      <c r="D4" s="39"/>
      <c r="E4" s="39"/>
      <c r="F4" s="39"/>
      <c r="G4" s="62">
        <v>1</v>
      </c>
      <c r="H4" s="62">
        <v>2</v>
      </c>
      <c r="I4" s="62">
        <v>3</v>
      </c>
      <c r="J4" s="62" t="s">
        <v>8</v>
      </c>
      <c r="K4" s="39"/>
      <c r="L4" s="39"/>
      <c r="M4" s="30"/>
    </row>
    <row r="5" spans="1:13" ht="15">
      <c r="A5" s="41" t="s">
        <v>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52"/>
    </row>
    <row r="6" spans="1:13" ht="12.75">
      <c r="A6" s="61" t="s">
        <v>978</v>
      </c>
      <c r="B6" s="60" t="s">
        <v>977</v>
      </c>
      <c r="C6" s="60" t="s">
        <v>976</v>
      </c>
      <c r="D6" s="60" t="str">
        <f>"0,7602"</f>
        <v>0,7602</v>
      </c>
      <c r="E6" s="59" t="s">
        <v>24</v>
      </c>
      <c r="F6" s="59" t="s">
        <v>581</v>
      </c>
      <c r="G6" s="60" t="s">
        <v>398</v>
      </c>
      <c r="H6" s="60" t="s">
        <v>44</v>
      </c>
      <c r="I6" s="60" t="s">
        <v>956</v>
      </c>
      <c r="J6" s="10"/>
      <c r="K6" s="61" t="s">
        <v>956</v>
      </c>
      <c r="L6" s="60" t="str">
        <f>"0,0000"</f>
        <v>0,0000</v>
      </c>
      <c r="M6" s="59" t="s">
        <v>972</v>
      </c>
    </row>
    <row r="7" spans="1:13" ht="12.75">
      <c r="A7" s="25"/>
      <c r="B7" s="51"/>
      <c r="C7" s="51"/>
      <c r="D7" s="51"/>
      <c r="E7" s="52"/>
      <c r="F7" s="52"/>
      <c r="G7" s="51"/>
      <c r="H7" s="51"/>
      <c r="I7" s="51"/>
      <c r="J7" s="51"/>
      <c r="K7" s="25"/>
      <c r="L7" s="51"/>
      <c r="M7" s="52"/>
    </row>
    <row r="8" spans="1:13" ht="15">
      <c r="A8" s="44" t="s">
        <v>150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52"/>
    </row>
    <row r="9" spans="1:13" ht="12.75">
      <c r="A9" s="61" t="s">
        <v>975</v>
      </c>
      <c r="B9" s="60" t="s">
        <v>974</v>
      </c>
      <c r="C9" s="60" t="s">
        <v>973</v>
      </c>
      <c r="D9" s="60" t="str">
        <f>"0,6980"</f>
        <v>0,6980</v>
      </c>
      <c r="E9" s="59" t="s">
        <v>24</v>
      </c>
      <c r="F9" s="59" t="s">
        <v>581</v>
      </c>
      <c r="G9" s="60" t="s">
        <v>956</v>
      </c>
      <c r="H9" s="60" t="s">
        <v>45</v>
      </c>
      <c r="I9" s="60" t="s">
        <v>955</v>
      </c>
      <c r="J9" s="10"/>
      <c r="K9" s="61" t="s">
        <v>955</v>
      </c>
      <c r="L9" s="60" t="str">
        <f>"0,0000"</f>
        <v>0,0000</v>
      </c>
      <c r="M9" s="59" t="s">
        <v>972</v>
      </c>
    </row>
    <row r="10" spans="1:13" ht="12.75">
      <c r="A10" s="61" t="s">
        <v>959</v>
      </c>
      <c r="B10" s="60" t="s">
        <v>958</v>
      </c>
      <c r="C10" s="60" t="s">
        <v>957</v>
      </c>
      <c r="D10" s="60" t="str">
        <f>"0,6645"</f>
        <v>0,6645</v>
      </c>
      <c r="E10" s="59" t="s">
        <v>24</v>
      </c>
      <c r="F10" s="59" t="s">
        <v>116</v>
      </c>
      <c r="G10" s="60" t="s">
        <v>103</v>
      </c>
      <c r="H10" s="60" t="s">
        <v>143</v>
      </c>
      <c r="I10" s="10" t="s">
        <v>26</v>
      </c>
      <c r="J10" s="10"/>
      <c r="K10" s="61" t="s">
        <v>143</v>
      </c>
      <c r="L10" s="60" t="str">
        <f>"88,0462"</f>
        <v>88,0462</v>
      </c>
      <c r="M10" s="59" t="s">
        <v>83</v>
      </c>
    </row>
    <row r="11" spans="1:13" ht="12.75">
      <c r="A11" s="61" t="s">
        <v>971</v>
      </c>
      <c r="B11" s="60" t="s">
        <v>659</v>
      </c>
      <c r="C11" s="60" t="s">
        <v>660</v>
      </c>
      <c r="D11" s="60" t="str">
        <f>"0,6673"</f>
        <v>0,6673</v>
      </c>
      <c r="E11" s="59" t="s">
        <v>24</v>
      </c>
      <c r="F11" s="59" t="s">
        <v>149</v>
      </c>
      <c r="G11" s="60" t="s">
        <v>43</v>
      </c>
      <c r="H11" s="60" t="s">
        <v>956</v>
      </c>
      <c r="I11" s="60" t="s">
        <v>955</v>
      </c>
      <c r="J11" s="10"/>
      <c r="K11" s="61" t="s">
        <v>955</v>
      </c>
      <c r="L11" s="60" t="str">
        <f>"0,0000"</f>
        <v>0,0000</v>
      </c>
      <c r="M11" s="59" t="s">
        <v>83</v>
      </c>
    </row>
    <row r="12" spans="1:13" ht="12.75">
      <c r="A12" s="61" t="s">
        <v>654</v>
      </c>
      <c r="B12" s="60" t="s">
        <v>970</v>
      </c>
      <c r="C12" s="60" t="s">
        <v>656</v>
      </c>
      <c r="D12" s="60" t="str">
        <f>"0,6820"</f>
        <v>0,6820</v>
      </c>
      <c r="E12" s="59" t="s">
        <v>24</v>
      </c>
      <c r="F12" s="59" t="s">
        <v>149</v>
      </c>
      <c r="G12" s="60" t="s">
        <v>45</v>
      </c>
      <c r="H12" s="60" t="s">
        <v>103</v>
      </c>
      <c r="I12" s="10" t="s">
        <v>26</v>
      </c>
      <c r="J12" s="10"/>
      <c r="K12" s="61" t="s">
        <v>964</v>
      </c>
      <c r="L12" s="60" t="str">
        <f>"0,0000"</f>
        <v>0,0000</v>
      </c>
      <c r="M12" s="59" t="s">
        <v>83</v>
      </c>
    </row>
    <row r="13" spans="1:13" ht="12.75">
      <c r="A13" s="61" t="s">
        <v>969</v>
      </c>
      <c r="B13" s="60" t="s">
        <v>968</v>
      </c>
      <c r="C13" s="60" t="s">
        <v>957</v>
      </c>
      <c r="D13" s="60" t="str">
        <f>"0,6645"</f>
        <v>0,6645</v>
      </c>
      <c r="E13" s="59" t="s">
        <v>24</v>
      </c>
      <c r="F13" s="59" t="s">
        <v>149</v>
      </c>
      <c r="G13" s="60" t="s">
        <v>43</v>
      </c>
      <c r="H13" s="60" t="s">
        <v>956</v>
      </c>
      <c r="I13" s="10" t="s">
        <v>955</v>
      </c>
      <c r="J13" s="10"/>
      <c r="K13" s="61" t="s">
        <v>956</v>
      </c>
      <c r="L13" s="60" t="str">
        <f>"0,0000"</f>
        <v>0,0000</v>
      </c>
      <c r="M13" s="59" t="s">
        <v>83</v>
      </c>
    </row>
    <row r="14" spans="1:13" ht="12.75">
      <c r="A14" s="25"/>
      <c r="B14" s="51"/>
      <c r="C14" s="51"/>
      <c r="D14" s="51"/>
      <c r="E14" s="52"/>
      <c r="F14" s="52"/>
      <c r="G14" s="51"/>
      <c r="H14" s="51"/>
      <c r="I14" s="51"/>
      <c r="J14" s="51"/>
      <c r="K14" s="25"/>
      <c r="L14" s="51"/>
      <c r="M14" s="52"/>
    </row>
    <row r="15" spans="1:13" ht="15">
      <c r="A15" s="44" t="s">
        <v>111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52"/>
    </row>
    <row r="16" spans="1:13" ht="12.75">
      <c r="A16" s="61" t="s">
        <v>967</v>
      </c>
      <c r="B16" s="60" t="s">
        <v>966</v>
      </c>
      <c r="C16" s="60" t="s">
        <v>965</v>
      </c>
      <c r="D16" s="60" t="str">
        <f>"0,6262"</f>
        <v>0,6262</v>
      </c>
      <c r="E16" s="59" t="s">
        <v>24</v>
      </c>
      <c r="F16" s="59" t="s">
        <v>149</v>
      </c>
      <c r="G16" s="10" t="s">
        <v>398</v>
      </c>
      <c r="H16" s="60" t="s">
        <v>45</v>
      </c>
      <c r="I16" s="60" t="s">
        <v>103</v>
      </c>
      <c r="J16" s="10"/>
      <c r="K16" s="61" t="s">
        <v>964</v>
      </c>
      <c r="L16" s="60" t="str">
        <f>"0,0000"</f>
        <v>0,0000</v>
      </c>
      <c r="M16" s="59" t="s">
        <v>83</v>
      </c>
    </row>
    <row r="17" spans="1:13" ht="12.75">
      <c r="A17" s="25"/>
      <c r="B17" s="51"/>
      <c r="C17" s="51"/>
      <c r="D17" s="51"/>
      <c r="E17" s="52"/>
      <c r="F17" s="52"/>
      <c r="G17" s="51"/>
      <c r="H17" s="51"/>
      <c r="I17" s="51"/>
      <c r="J17" s="51"/>
      <c r="K17" s="25"/>
      <c r="L17" s="51"/>
      <c r="M17" s="52"/>
    </row>
    <row r="18" spans="1:13" ht="15">
      <c r="A18" s="44" t="s">
        <v>208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52"/>
    </row>
    <row r="19" spans="1:13" ht="12.75">
      <c r="A19" s="61" t="s">
        <v>963</v>
      </c>
      <c r="B19" s="60" t="s">
        <v>962</v>
      </c>
      <c r="C19" s="60" t="s">
        <v>961</v>
      </c>
      <c r="D19" s="60" t="str">
        <f>"0,5583"</f>
        <v>0,5583</v>
      </c>
      <c r="E19" s="59" t="s">
        <v>24</v>
      </c>
      <c r="F19" s="59" t="s">
        <v>149</v>
      </c>
      <c r="G19" s="60" t="s">
        <v>955</v>
      </c>
      <c r="H19" s="60" t="s">
        <v>104</v>
      </c>
      <c r="I19" s="10" t="s">
        <v>28</v>
      </c>
      <c r="J19" s="10"/>
      <c r="K19" s="61" t="s">
        <v>104</v>
      </c>
      <c r="L19" s="60" t="str">
        <f>"0,0000"</f>
        <v>0,0000</v>
      </c>
      <c r="M19" s="59" t="s">
        <v>83</v>
      </c>
    </row>
    <row r="20" spans="1:13" ht="12.75">
      <c r="A20" s="25"/>
      <c r="B20" s="51"/>
      <c r="C20" s="51"/>
      <c r="D20" s="51"/>
      <c r="E20" s="52"/>
      <c r="F20" s="52"/>
      <c r="G20" s="51"/>
      <c r="H20" s="51"/>
      <c r="I20" s="51"/>
      <c r="J20" s="51"/>
      <c r="K20" s="25"/>
      <c r="L20" s="51"/>
      <c r="M20" s="52"/>
    </row>
    <row r="21" spans="1:13" ht="15">
      <c r="A21" s="25"/>
      <c r="B21" s="51"/>
      <c r="C21" s="51"/>
      <c r="D21" s="51"/>
      <c r="E21" s="6" t="s">
        <v>12</v>
      </c>
      <c r="F21" s="52"/>
      <c r="G21" s="51"/>
      <c r="H21" s="51"/>
      <c r="I21" s="51"/>
      <c r="J21" s="51"/>
      <c r="K21" s="25"/>
      <c r="L21" s="51"/>
      <c r="M21" s="52"/>
    </row>
    <row r="22" spans="1:13" ht="15">
      <c r="A22" s="25"/>
      <c r="B22" s="51"/>
      <c r="C22" s="51"/>
      <c r="D22" s="51"/>
      <c r="E22" s="6" t="s">
        <v>13</v>
      </c>
      <c r="F22" s="52"/>
      <c r="G22" s="51"/>
      <c r="H22" s="51"/>
      <c r="I22" s="51"/>
      <c r="J22" s="51"/>
      <c r="K22" s="25"/>
      <c r="L22" s="51"/>
      <c r="M22" s="52"/>
    </row>
    <row r="23" spans="1:13" ht="15">
      <c r="A23" s="25"/>
      <c r="B23" s="51"/>
      <c r="C23" s="51"/>
      <c r="D23" s="51"/>
      <c r="E23" s="6" t="s">
        <v>14</v>
      </c>
      <c r="F23" s="52"/>
      <c r="G23" s="51"/>
      <c r="H23" s="51"/>
      <c r="I23" s="51"/>
      <c r="J23" s="51"/>
      <c r="K23" s="25"/>
      <c r="L23" s="51"/>
      <c r="M23" s="52"/>
    </row>
    <row r="24" spans="1:13" ht="15">
      <c r="A24" s="25"/>
      <c r="B24" s="51"/>
      <c r="C24" s="51"/>
      <c r="D24" s="51"/>
      <c r="E24" s="6" t="s">
        <v>15</v>
      </c>
      <c r="F24" s="52"/>
      <c r="G24" s="51"/>
      <c r="H24" s="51"/>
      <c r="I24" s="51"/>
      <c r="J24" s="51"/>
      <c r="K24" s="25"/>
      <c r="L24" s="51"/>
      <c r="M24" s="52"/>
    </row>
    <row r="25" spans="1:13" ht="15">
      <c r="A25" s="25"/>
      <c r="B25" s="51"/>
      <c r="C25" s="51"/>
      <c r="D25" s="51"/>
      <c r="E25" s="6" t="s">
        <v>15</v>
      </c>
      <c r="F25" s="52"/>
      <c r="G25" s="51"/>
      <c r="H25" s="51"/>
      <c r="I25" s="51"/>
      <c r="J25" s="51"/>
      <c r="K25" s="25"/>
      <c r="L25" s="51"/>
      <c r="M25" s="52"/>
    </row>
    <row r="26" spans="1:13" ht="15">
      <c r="A26" s="25"/>
      <c r="B26" s="51"/>
      <c r="C26" s="51"/>
      <c r="D26" s="51"/>
      <c r="E26" s="6" t="s">
        <v>16</v>
      </c>
      <c r="F26" s="52"/>
      <c r="G26" s="51"/>
      <c r="H26" s="51"/>
      <c r="I26" s="51"/>
      <c r="J26" s="51"/>
      <c r="K26" s="25"/>
      <c r="L26" s="51"/>
      <c r="M26" s="52"/>
    </row>
    <row r="27" spans="1:13" ht="15">
      <c r="A27" s="25"/>
      <c r="B27" s="51"/>
      <c r="C27" s="51"/>
      <c r="D27" s="51"/>
      <c r="E27" s="6"/>
      <c r="F27" s="52"/>
      <c r="G27" s="51"/>
      <c r="H27" s="51"/>
      <c r="I27" s="51"/>
      <c r="J27" s="51"/>
      <c r="K27" s="25"/>
      <c r="L27" s="51"/>
      <c r="M27" s="52"/>
    </row>
  </sheetData>
  <sheetProtection/>
  <mergeCells count="15">
    <mergeCell ref="L3:L4"/>
    <mergeCell ref="M3:M4"/>
    <mergeCell ref="A5:L5"/>
    <mergeCell ref="A8:L8"/>
    <mergeCell ref="A15:L15"/>
    <mergeCell ref="A18:L18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43" t="s">
        <v>883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1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8" t="s">
        <v>35</v>
      </c>
      <c r="B6" s="8" t="s">
        <v>36</v>
      </c>
      <c r="C6" s="8" t="s">
        <v>37</v>
      </c>
      <c r="D6" s="8" t="str">
        <f>"0,9935"</f>
        <v>0,9935</v>
      </c>
      <c r="E6" s="8" t="s">
        <v>38</v>
      </c>
      <c r="F6" s="8" t="s">
        <v>39</v>
      </c>
      <c r="G6" s="9" t="s">
        <v>40</v>
      </c>
      <c r="H6" s="10" t="s">
        <v>41</v>
      </c>
      <c r="I6" s="9" t="s">
        <v>42</v>
      </c>
      <c r="J6" s="10"/>
      <c r="K6" s="8" t="str">
        <f>"100,0"</f>
        <v>100,0</v>
      </c>
      <c r="L6" s="9" t="str">
        <f>"99,3500"</f>
        <v>99,3500</v>
      </c>
      <c r="M6" s="8" t="s">
        <v>47</v>
      </c>
    </row>
    <row r="8" spans="1:12" ht="15">
      <c r="A8" s="44" t="s">
        <v>111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2.75">
      <c r="A9" s="8" t="s">
        <v>113</v>
      </c>
      <c r="B9" s="8" t="s">
        <v>114</v>
      </c>
      <c r="C9" s="8" t="s">
        <v>115</v>
      </c>
      <c r="D9" s="8" t="str">
        <f>"0,6777"</f>
        <v>0,6777</v>
      </c>
      <c r="E9" s="8" t="s">
        <v>24</v>
      </c>
      <c r="F9" s="8" t="s">
        <v>116</v>
      </c>
      <c r="G9" s="9" t="s">
        <v>56</v>
      </c>
      <c r="H9" s="10" t="s">
        <v>79</v>
      </c>
      <c r="I9" s="9" t="s">
        <v>79</v>
      </c>
      <c r="J9" s="10"/>
      <c r="K9" s="8" t="str">
        <f>"90,0"</f>
        <v>90,0</v>
      </c>
      <c r="L9" s="9" t="str">
        <f>"60,9930"</f>
        <v>60,9930</v>
      </c>
      <c r="M9" s="8" t="s">
        <v>119</v>
      </c>
    </row>
    <row r="11" spans="1:12" ht="15">
      <c r="A11" s="44" t="s">
        <v>64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 ht="12.75">
      <c r="A12" s="8" t="s">
        <v>865</v>
      </c>
      <c r="B12" s="8" t="s">
        <v>866</v>
      </c>
      <c r="C12" s="8" t="s">
        <v>867</v>
      </c>
      <c r="D12" s="8" t="str">
        <f>"0,8453"</f>
        <v>0,8453</v>
      </c>
      <c r="E12" s="8" t="s">
        <v>434</v>
      </c>
      <c r="F12" s="8" t="s">
        <v>240</v>
      </c>
      <c r="G12" s="10" t="s">
        <v>126</v>
      </c>
      <c r="H12" s="10" t="s">
        <v>90</v>
      </c>
      <c r="I12" s="10" t="s">
        <v>90</v>
      </c>
      <c r="J12" s="10"/>
      <c r="K12" s="8" t="str">
        <f>"0.00"</f>
        <v>0.00</v>
      </c>
      <c r="L12" s="9" t="str">
        <f>"0,0000"</f>
        <v>0,0000</v>
      </c>
      <c r="M12" s="8" t="s">
        <v>436</v>
      </c>
    </row>
    <row r="14" spans="1:12" ht="15">
      <c r="A14" s="44" t="s">
        <v>208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3" ht="12.75">
      <c r="A15" s="8" t="s">
        <v>683</v>
      </c>
      <c r="B15" s="8" t="s">
        <v>684</v>
      </c>
      <c r="C15" s="8" t="s">
        <v>220</v>
      </c>
      <c r="D15" s="8" t="str">
        <f>"0,5540"</f>
        <v>0,5540</v>
      </c>
      <c r="E15" s="8" t="s">
        <v>24</v>
      </c>
      <c r="F15" s="8" t="s">
        <v>317</v>
      </c>
      <c r="G15" s="10" t="s">
        <v>126</v>
      </c>
      <c r="H15" s="9" t="s">
        <v>126</v>
      </c>
      <c r="I15" s="9" t="s">
        <v>91</v>
      </c>
      <c r="J15" s="10"/>
      <c r="K15" s="8" t="str">
        <f>"160,0"</f>
        <v>160,0</v>
      </c>
      <c r="L15" s="9" t="str">
        <f>"88,6400"</f>
        <v>88,6400</v>
      </c>
      <c r="M15" s="8" t="s">
        <v>564</v>
      </c>
    </row>
    <row r="17" ht="15">
      <c r="E17" s="6" t="s">
        <v>12</v>
      </c>
    </row>
    <row r="18" ht="15">
      <c r="E18" s="6" t="s">
        <v>13</v>
      </c>
    </row>
    <row r="19" ht="15">
      <c r="E19" s="6" t="s">
        <v>14</v>
      </c>
    </row>
    <row r="20" ht="15">
      <c r="E20" s="6" t="s">
        <v>15</v>
      </c>
    </row>
    <row r="21" ht="15">
      <c r="E21" s="6" t="s">
        <v>15</v>
      </c>
    </row>
    <row r="22" ht="15">
      <c r="E22" s="6" t="s">
        <v>16</v>
      </c>
    </row>
    <row r="23" ht="15">
      <c r="E23" s="6"/>
    </row>
    <row r="25" spans="1:2" ht="18">
      <c r="A25" s="7" t="s">
        <v>17</v>
      </c>
      <c r="B25" s="7"/>
    </row>
    <row r="26" spans="1:2" ht="15">
      <c r="A26" s="20" t="s">
        <v>241</v>
      </c>
      <c r="B26" s="20"/>
    </row>
    <row r="27" spans="1:2" ht="14.25">
      <c r="A27" s="22"/>
      <c r="B27" s="23" t="s">
        <v>253</v>
      </c>
    </row>
    <row r="28" spans="1:5" ht="15">
      <c r="A28" s="24" t="s">
        <v>243</v>
      </c>
      <c r="B28" s="24" t="s">
        <v>244</v>
      </c>
      <c r="C28" s="24" t="s">
        <v>245</v>
      </c>
      <c r="D28" s="24" t="s">
        <v>246</v>
      </c>
      <c r="E28" s="24" t="s">
        <v>247</v>
      </c>
    </row>
    <row r="29" spans="1:5" ht="12.75">
      <c r="A29" s="21" t="s">
        <v>34</v>
      </c>
      <c r="B29" s="4" t="s">
        <v>253</v>
      </c>
      <c r="C29" s="4" t="s">
        <v>256</v>
      </c>
      <c r="D29" s="4" t="s">
        <v>42</v>
      </c>
      <c r="E29" s="25" t="s">
        <v>804</v>
      </c>
    </row>
    <row r="30" spans="1:5" ht="12.75">
      <c r="A30" s="21" t="s">
        <v>112</v>
      </c>
      <c r="B30" s="4" t="s">
        <v>253</v>
      </c>
      <c r="C30" s="4" t="s">
        <v>261</v>
      </c>
      <c r="D30" s="4" t="s">
        <v>79</v>
      </c>
      <c r="E30" s="25" t="s">
        <v>868</v>
      </c>
    </row>
    <row r="33" spans="1:2" ht="15">
      <c r="A33" s="20" t="s">
        <v>269</v>
      </c>
      <c r="B33" s="20"/>
    </row>
    <row r="34" spans="1:2" ht="14.25">
      <c r="A34" s="22"/>
      <c r="B34" s="23" t="s">
        <v>253</v>
      </c>
    </row>
    <row r="35" spans="1:5" ht="15">
      <c r="A35" s="24" t="s">
        <v>243</v>
      </c>
      <c r="B35" s="24" t="s">
        <v>244</v>
      </c>
      <c r="C35" s="24" t="s">
        <v>245</v>
      </c>
      <c r="D35" s="24" t="s">
        <v>246</v>
      </c>
      <c r="E35" s="24" t="s">
        <v>247</v>
      </c>
    </row>
    <row r="36" spans="1:5" ht="12.75">
      <c r="A36" s="21" t="s">
        <v>682</v>
      </c>
      <c r="B36" s="4" t="s">
        <v>253</v>
      </c>
      <c r="C36" s="4" t="s">
        <v>42</v>
      </c>
      <c r="D36" s="4" t="s">
        <v>91</v>
      </c>
      <c r="E36" s="25" t="s">
        <v>869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25.375" style="0" customWidth="1"/>
    <col min="2" max="2" width="32.75390625" style="0" customWidth="1"/>
    <col min="5" max="5" width="13.375" style="0" customWidth="1"/>
    <col min="6" max="6" width="22.625" style="0" customWidth="1"/>
    <col min="13" max="13" width="30.625" style="0" customWidth="1"/>
  </cols>
  <sheetData>
    <row r="1" spans="1:13" ht="12.75">
      <c r="A1" s="68" t="s">
        <v>981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</row>
    <row r="2" spans="1:13" ht="78" customHeight="1" thickBot="1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3"/>
    </row>
    <row r="3" spans="1:13" ht="15">
      <c r="A3" s="36" t="s">
        <v>0</v>
      </c>
      <c r="B3" s="38" t="s">
        <v>9</v>
      </c>
      <c r="C3" s="38" t="s">
        <v>947</v>
      </c>
      <c r="D3" s="40" t="s">
        <v>18</v>
      </c>
      <c r="E3" s="40" t="s">
        <v>7</v>
      </c>
      <c r="F3" s="40" t="s">
        <v>11</v>
      </c>
      <c r="G3" s="40" t="s">
        <v>946</v>
      </c>
      <c r="H3" s="40"/>
      <c r="I3" s="40"/>
      <c r="J3" s="40"/>
      <c r="K3" s="40" t="s">
        <v>4</v>
      </c>
      <c r="L3" s="40" t="s">
        <v>6</v>
      </c>
      <c r="M3" s="29" t="s">
        <v>5</v>
      </c>
    </row>
    <row r="4" spans="1:13" ht="15" thickBot="1">
      <c r="A4" s="37"/>
      <c r="B4" s="39"/>
      <c r="C4" s="39"/>
      <c r="D4" s="39"/>
      <c r="E4" s="39"/>
      <c r="F4" s="39"/>
      <c r="G4" s="62">
        <v>1</v>
      </c>
      <c r="H4" s="62">
        <v>2</v>
      </c>
      <c r="I4" s="62">
        <v>3</v>
      </c>
      <c r="J4" s="62" t="s">
        <v>8</v>
      </c>
      <c r="K4" s="39"/>
      <c r="L4" s="39"/>
      <c r="M4" s="30"/>
    </row>
    <row r="5" spans="1:13" ht="15">
      <c r="A5" s="44" t="s">
        <v>150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52"/>
    </row>
    <row r="6" spans="1:13" ht="12.75">
      <c r="A6" s="61" t="s">
        <v>959</v>
      </c>
      <c r="B6" s="60" t="s">
        <v>958</v>
      </c>
      <c r="C6" s="60" t="s">
        <v>957</v>
      </c>
      <c r="D6" s="60" t="str">
        <f>"0,6645"</f>
        <v>0,6645</v>
      </c>
      <c r="E6" s="59" t="s">
        <v>24</v>
      </c>
      <c r="F6" s="59" t="s">
        <v>116</v>
      </c>
      <c r="G6" s="10" t="s">
        <v>942</v>
      </c>
      <c r="H6" s="60" t="s">
        <v>942</v>
      </c>
      <c r="I6" s="9" t="s">
        <v>980</v>
      </c>
      <c r="J6" s="10"/>
      <c r="K6" s="61" t="s">
        <v>980</v>
      </c>
      <c r="L6" s="60"/>
      <c r="M6" s="59" t="s">
        <v>83</v>
      </c>
    </row>
    <row r="7" spans="1:13" ht="12.75">
      <c r="A7" s="25"/>
      <c r="B7" s="51"/>
      <c r="C7" s="51"/>
      <c r="D7" s="51"/>
      <c r="E7" s="52"/>
      <c r="F7" s="52"/>
      <c r="G7" s="51"/>
      <c r="H7" s="51"/>
      <c r="I7" s="51"/>
      <c r="J7" s="51"/>
      <c r="K7" s="25"/>
      <c r="L7" s="51"/>
      <c r="M7" s="52"/>
    </row>
    <row r="8" spans="1:13" ht="15">
      <c r="A8" s="25"/>
      <c r="B8" s="51"/>
      <c r="C8" s="51"/>
      <c r="D8" s="51"/>
      <c r="E8" s="6" t="s">
        <v>12</v>
      </c>
      <c r="F8" s="52"/>
      <c r="G8" s="51"/>
      <c r="H8" s="51"/>
      <c r="I8" s="51"/>
      <c r="J8" s="51"/>
      <c r="K8" s="25"/>
      <c r="L8" s="51"/>
      <c r="M8" s="52"/>
    </row>
    <row r="9" spans="1:13" ht="15">
      <c r="A9" s="25"/>
      <c r="B9" s="51"/>
      <c r="C9" s="51"/>
      <c r="D9" s="51"/>
      <c r="E9" s="6" t="s">
        <v>13</v>
      </c>
      <c r="F9" s="52"/>
      <c r="G9" s="51"/>
      <c r="H9" s="51"/>
      <c r="I9" s="51"/>
      <c r="J9" s="51"/>
      <c r="K9" s="25"/>
      <c r="L9" s="51"/>
      <c r="M9" s="52"/>
    </row>
    <row r="10" spans="1:13" ht="15">
      <c r="A10" s="25"/>
      <c r="B10" s="51"/>
      <c r="C10" s="51"/>
      <c r="D10" s="51"/>
      <c r="E10" s="6" t="s">
        <v>14</v>
      </c>
      <c r="F10" s="52"/>
      <c r="G10" s="51"/>
      <c r="H10" s="51"/>
      <c r="I10" s="51"/>
      <c r="J10" s="51"/>
      <c r="K10" s="25"/>
      <c r="L10" s="51"/>
      <c r="M10" s="52"/>
    </row>
    <row r="11" spans="1:13" ht="15">
      <c r="A11" s="25"/>
      <c r="B11" s="51"/>
      <c r="C11" s="51"/>
      <c r="D11" s="51"/>
      <c r="E11" s="6" t="s">
        <v>15</v>
      </c>
      <c r="F11" s="52"/>
      <c r="G11" s="51"/>
      <c r="H11" s="51"/>
      <c r="I11" s="51"/>
      <c r="J11" s="51"/>
      <c r="K11" s="25"/>
      <c r="L11" s="51"/>
      <c r="M11" s="52"/>
    </row>
    <row r="12" spans="1:13" ht="15">
      <c r="A12" s="25"/>
      <c r="B12" s="51"/>
      <c r="C12" s="51"/>
      <c r="D12" s="51"/>
      <c r="E12" s="6" t="s">
        <v>15</v>
      </c>
      <c r="F12" s="52"/>
      <c r="G12" s="51"/>
      <c r="H12" s="51"/>
      <c r="I12" s="51"/>
      <c r="J12" s="51"/>
      <c r="K12" s="25"/>
      <c r="L12" s="51"/>
      <c r="M12" s="52"/>
    </row>
    <row r="13" spans="1:13" ht="15">
      <c r="A13" s="25"/>
      <c r="B13" s="51"/>
      <c r="C13" s="51"/>
      <c r="D13" s="51"/>
      <c r="E13" s="6" t="s">
        <v>16</v>
      </c>
      <c r="F13" s="52"/>
      <c r="G13" s="51"/>
      <c r="H13" s="51"/>
      <c r="I13" s="51"/>
      <c r="J13" s="51"/>
      <c r="K13" s="25"/>
      <c r="L13" s="51"/>
      <c r="M13" s="52"/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0.75390625" style="4" bestFit="1" customWidth="1"/>
    <col min="7" max="7" width="4.625" style="3" bestFit="1" customWidth="1"/>
    <col min="8" max="8" width="4.625" style="46" bestFit="1" customWidth="1"/>
    <col min="9" max="9" width="7.875" style="4" bestFit="1" customWidth="1"/>
    <col min="10" max="10" width="7.625" style="3" bestFit="1" customWidth="1"/>
    <col min="11" max="11" width="13.875" style="4" bestFit="1" customWidth="1"/>
    <col min="12" max="16384" width="9.125" style="3" customWidth="1"/>
  </cols>
  <sheetData>
    <row r="1" spans="1:11" s="2" customFormat="1" ht="28.5" customHeight="1">
      <c r="A1" s="43" t="s">
        <v>1040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1" customFormat="1" ht="12.75" customHeight="1">
      <c r="A3" s="36" t="s">
        <v>0</v>
      </c>
      <c r="B3" s="38" t="s">
        <v>9</v>
      </c>
      <c r="C3" s="38" t="s">
        <v>10</v>
      </c>
      <c r="D3" s="40" t="s">
        <v>1039</v>
      </c>
      <c r="E3" s="40" t="s">
        <v>7</v>
      </c>
      <c r="F3" s="40" t="s">
        <v>11</v>
      </c>
      <c r="G3" s="40" t="s">
        <v>915</v>
      </c>
      <c r="H3" s="40"/>
      <c r="I3" s="40" t="s">
        <v>914</v>
      </c>
      <c r="J3" s="40" t="s">
        <v>6</v>
      </c>
      <c r="K3" s="29" t="s">
        <v>5</v>
      </c>
    </row>
    <row r="4" spans="1:11" s="1" customFormat="1" ht="21" customHeight="1" thickBot="1">
      <c r="A4" s="37"/>
      <c r="B4" s="39"/>
      <c r="C4" s="39"/>
      <c r="D4" s="39"/>
      <c r="E4" s="39"/>
      <c r="F4" s="39"/>
      <c r="G4" s="27" t="s">
        <v>913</v>
      </c>
      <c r="H4" s="50" t="s">
        <v>912</v>
      </c>
      <c r="I4" s="39"/>
      <c r="J4" s="39"/>
      <c r="K4" s="30"/>
    </row>
    <row r="5" spans="1:10" ht="15">
      <c r="A5" s="41" t="s">
        <v>1038</v>
      </c>
      <c r="B5" s="42"/>
      <c r="C5" s="42"/>
      <c r="D5" s="42"/>
      <c r="E5" s="42"/>
      <c r="F5" s="42"/>
      <c r="G5" s="42"/>
      <c r="H5" s="42"/>
      <c r="I5" s="42"/>
      <c r="J5" s="42"/>
    </row>
    <row r="6" spans="1:11" ht="12.75">
      <c r="A6" s="11" t="s">
        <v>1037</v>
      </c>
      <c r="B6" s="11" t="s">
        <v>1036</v>
      </c>
      <c r="C6" s="11" t="s">
        <v>1035</v>
      </c>
      <c r="D6" s="11" t="str">
        <f>"1,0000"</f>
        <v>1,0000</v>
      </c>
      <c r="E6" s="11" t="s">
        <v>24</v>
      </c>
      <c r="F6" s="11" t="s">
        <v>581</v>
      </c>
      <c r="G6" s="12" t="s">
        <v>103</v>
      </c>
      <c r="H6" s="49" t="s">
        <v>518</v>
      </c>
      <c r="I6" s="11" t="str">
        <f>"2640,0"</f>
        <v>2640,0</v>
      </c>
      <c r="J6" s="12" t="str">
        <f>"36,0655"</f>
        <v>36,0655</v>
      </c>
      <c r="K6" s="11" t="s">
        <v>1034</v>
      </c>
    </row>
    <row r="7" spans="1:11" ht="12.75">
      <c r="A7" s="17" t="s">
        <v>1033</v>
      </c>
      <c r="B7" s="17" t="s">
        <v>1032</v>
      </c>
      <c r="C7" s="17" t="s">
        <v>1031</v>
      </c>
      <c r="D7" s="17" t="str">
        <f>"1,0000"</f>
        <v>1,0000</v>
      </c>
      <c r="E7" s="17" t="s">
        <v>434</v>
      </c>
      <c r="F7" s="17" t="s">
        <v>240</v>
      </c>
      <c r="G7" s="18" t="s">
        <v>103</v>
      </c>
      <c r="H7" s="69" t="s">
        <v>1030</v>
      </c>
      <c r="I7" s="17" t="str">
        <f>"2365,0"</f>
        <v>2365,0</v>
      </c>
      <c r="J7" s="18" t="str">
        <f>"36,3846"</f>
        <v>36,3846</v>
      </c>
      <c r="K7" s="17" t="s">
        <v>436</v>
      </c>
    </row>
    <row r="8" spans="1:11" ht="12.75">
      <c r="A8" s="17" t="s">
        <v>1029</v>
      </c>
      <c r="B8" s="17" t="s">
        <v>664</v>
      </c>
      <c r="C8" s="17" t="s">
        <v>665</v>
      </c>
      <c r="D8" s="17" t="str">
        <f>"1,0000"</f>
        <v>1,0000</v>
      </c>
      <c r="E8" s="17" t="s">
        <v>24</v>
      </c>
      <c r="F8" s="17" t="s">
        <v>666</v>
      </c>
      <c r="G8" s="18" t="s">
        <v>103</v>
      </c>
      <c r="H8" s="69" t="s">
        <v>28</v>
      </c>
      <c r="I8" s="17" t="str">
        <f>"3850,0"</f>
        <v>3850,0</v>
      </c>
      <c r="J8" s="18" t="str">
        <f>"53,2503"</f>
        <v>53,2503</v>
      </c>
      <c r="K8" s="17" t="s">
        <v>83</v>
      </c>
    </row>
    <row r="9" spans="1:11" ht="12.75">
      <c r="A9" s="17" t="s">
        <v>1028</v>
      </c>
      <c r="B9" s="17" t="s">
        <v>1027</v>
      </c>
      <c r="C9" s="17" t="s">
        <v>200</v>
      </c>
      <c r="D9" s="17" t="str">
        <f>"1,0000"</f>
        <v>1,0000</v>
      </c>
      <c r="E9" s="17" t="s">
        <v>470</v>
      </c>
      <c r="F9" s="17" t="s">
        <v>52</v>
      </c>
      <c r="G9" s="18" t="s">
        <v>103</v>
      </c>
      <c r="H9" s="69" t="s">
        <v>1026</v>
      </c>
      <c r="I9" s="17" t="str">
        <f>"3630,0"</f>
        <v>3630,0</v>
      </c>
      <c r="J9" s="18" t="str">
        <f>"40,5133"</f>
        <v>40,5133</v>
      </c>
      <c r="K9" s="17" t="s">
        <v>1011</v>
      </c>
    </row>
    <row r="10" spans="1:11" ht="12.75">
      <c r="A10" s="17" t="s">
        <v>1025</v>
      </c>
      <c r="B10" s="17" t="s">
        <v>938</v>
      </c>
      <c r="C10" s="17" t="s">
        <v>937</v>
      </c>
      <c r="D10" s="17" t="str">
        <f>"1,0000"</f>
        <v>1,0000</v>
      </c>
      <c r="E10" s="17" t="s">
        <v>24</v>
      </c>
      <c r="F10" s="17" t="s">
        <v>936</v>
      </c>
      <c r="G10" s="18" t="s">
        <v>103</v>
      </c>
      <c r="H10" s="69" t="s">
        <v>256</v>
      </c>
      <c r="I10" s="17" t="str">
        <f>"2860,0"</f>
        <v>2860,0</v>
      </c>
      <c r="J10" s="18" t="str">
        <f>"39,2318"</f>
        <v>39,2318</v>
      </c>
      <c r="K10" s="17" t="s">
        <v>83</v>
      </c>
    </row>
    <row r="11" spans="1:11" ht="12.75">
      <c r="A11" s="17" t="s">
        <v>1024</v>
      </c>
      <c r="B11" s="17" t="s">
        <v>1023</v>
      </c>
      <c r="C11" s="17" t="s">
        <v>481</v>
      </c>
      <c r="D11" s="17" t="str">
        <f>"1,0000"</f>
        <v>1,0000</v>
      </c>
      <c r="E11" s="17" t="s">
        <v>24</v>
      </c>
      <c r="F11" s="17" t="s">
        <v>52</v>
      </c>
      <c r="G11" s="18" t="s">
        <v>103</v>
      </c>
      <c r="H11" s="69" t="s">
        <v>518</v>
      </c>
      <c r="I11" s="17" t="str">
        <f>"2640,0"</f>
        <v>2640,0</v>
      </c>
      <c r="J11" s="18" t="str">
        <f>"30,1714"</f>
        <v>30,1714</v>
      </c>
      <c r="K11" s="17" t="s">
        <v>83</v>
      </c>
    </row>
    <row r="12" spans="1:11" ht="12.75">
      <c r="A12" s="17" t="s">
        <v>1022</v>
      </c>
      <c r="B12" s="17" t="s">
        <v>1021</v>
      </c>
      <c r="C12" s="17" t="s">
        <v>1020</v>
      </c>
      <c r="D12" s="17" t="str">
        <f>"1,0000"</f>
        <v>1,0000</v>
      </c>
      <c r="E12" s="17" t="s">
        <v>24</v>
      </c>
      <c r="F12" s="17" t="s">
        <v>52</v>
      </c>
      <c r="G12" s="18" t="s">
        <v>103</v>
      </c>
      <c r="H12" s="69" t="s">
        <v>30</v>
      </c>
      <c r="I12" s="17" t="str">
        <f>"1375,0"</f>
        <v>1375,0</v>
      </c>
      <c r="J12" s="18" t="str">
        <f>"17,8803"</f>
        <v>17,8803</v>
      </c>
      <c r="K12" s="17" t="s">
        <v>83</v>
      </c>
    </row>
    <row r="13" spans="1:11" ht="12.75">
      <c r="A13" s="17" t="s">
        <v>1019</v>
      </c>
      <c r="B13" s="17" t="s">
        <v>1018</v>
      </c>
      <c r="C13" s="17" t="s">
        <v>1017</v>
      </c>
      <c r="D13" s="17" t="str">
        <f>"1,0000"</f>
        <v>1,0000</v>
      </c>
      <c r="E13" s="17" t="s">
        <v>24</v>
      </c>
      <c r="F13" s="17" t="s">
        <v>1016</v>
      </c>
      <c r="G13" s="18" t="s">
        <v>103</v>
      </c>
      <c r="H13" s="69" t="s">
        <v>266</v>
      </c>
      <c r="I13" s="17" t="str">
        <f>"3080,0"</f>
        <v>3080,0</v>
      </c>
      <c r="J13" s="18" t="str">
        <f>"35,0797"</f>
        <v>35,0797</v>
      </c>
      <c r="K13" s="17" t="s">
        <v>83</v>
      </c>
    </row>
    <row r="14" spans="1:11" ht="12.75">
      <c r="A14" s="14" t="s">
        <v>1015</v>
      </c>
      <c r="B14" s="14" t="s">
        <v>1014</v>
      </c>
      <c r="C14" s="14" t="s">
        <v>1013</v>
      </c>
      <c r="D14" s="14" t="str">
        <f>"1,0000"</f>
        <v>1,0000</v>
      </c>
      <c r="E14" s="14" t="s">
        <v>470</v>
      </c>
      <c r="F14" s="14" t="s">
        <v>52</v>
      </c>
      <c r="G14" s="16" t="s">
        <v>103</v>
      </c>
      <c r="H14" s="48" t="s">
        <v>1012</v>
      </c>
      <c r="I14" s="14" t="str">
        <f>"3245,0"</f>
        <v>3245,0</v>
      </c>
      <c r="J14" s="16" t="str">
        <f>"43,6742"</f>
        <v>43,6742</v>
      </c>
      <c r="K14" s="14" t="s">
        <v>1011</v>
      </c>
    </row>
    <row r="16" ht="15">
      <c r="E16" s="6" t="s">
        <v>12</v>
      </c>
    </row>
    <row r="17" spans="1:5" s="3" customFormat="1" ht="15">
      <c r="A17" s="4"/>
      <c r="B17" s="4"/>
      <c r="C17" s="4"/>
      <c r="D17" s="4"/>
      <c r="E17" s="6" t="s">
        <v>13</v>
      </c>
    </row>
    <row r="18" spans="1:5" s="3" customFormat="1" ht="15">
      <c r="A18" s="4"/>
      <c r="B18" s="4"/>
      <c r="C18" s="4"/>
      <c r="D18" s="4"/>
      <c r="E18" s="6" t="s">
        <v>14</v>
      </c>
    </row>
    <row r="19" spans="1:5" s="3" customFormat="1" ht="15">
      <c r="A19" s="4"/>
      <c r="B19" s="4"/>
      <c r="C19" s="4"/>
      <c r="D19" s="4"/>
      <c r="E19" s="6" t="s">
        <v>15</v>
      </c>
    </row>
    <row r="20" spans="1:5" s="3" customFormat="1" ht="15">
      <c r="A20" s="4"/>
      <c r="B20" s="4"/>
      <c r="C20" s="4"/>
      <c r="D20" s="4"/>
      <c r="E20" s="6" t="s">
        <v>15</v>
      </c>
    </row>
    <row r="21" spans="1:5" s="3" customFormat="1" ht="15">
      <c r="A21" s="4"/>
      <c r="B21" s="4"/>
      <c r="C21" s="4"/>
      <c r="D21" s="4"/>
      <c r="E21" s="6" t="s">
        <v>16</v>
      </c>
    </row>
    <row r="22" spans="1:5" s="3" customFormat="1" ht="15">
      <c r="A22" s="4"/>
      <c r="B22" s="4"/>
      <c r="C22" s="4"/>
      <c r="D22" s="4"/>
      <c r="E22" s="6"/>
    </row>
    <row r="24" spans="1:5" s="3" customFormat="1" ht="18">
      <c r="A24" s="7" t="s">
        <v>17</v>
      </c>
      <c r="B24" s="7"/>
      <c r="C24" s="4"/>
      <c r="D24" s="4"/>
      <c r="E24" s="4"/>
    </row>
    <row r="25" spans="1:5" s="3" customFormat="1" ht="15">
      <c r="A25" s="20" t="s">
        <v>269</v>
      </c>
      <c r="B25" s="20"/>
      <c r="C25" s="4"/>
      <c r="D25" s="4"/>
      <c r="E25" s="4"/>
    </row>
    <row r="26" spans="1:5" s="3" customFormat="1" ht="14.25">
      <c r="A26" s="22"/>
      <c r="B26" s="23" t="s">
        <v>270</v>
      </c>
      <c r="C26" s="4"/>
      <c r="D26" s="4"/>
      <c r="E26" s="4"/>
    </row>
    <row r="27" spans="1:5" s="3" customFormat="1" ht="15">
      <c r="A27" s="24" t="s">
        <v>243</v>
      </c>
      <c r="B27" s="24" t="s">
        <v>244</v>
      </c>
      <c r="C27" s="24" t="s">
        <v>245</v>
      </c>
      <c r="D27" s="24" t="s">
        <v>246</v>
      </c>
      <c r="E27" s="24" t="s">
        <v>991</v>
      </c>
    </row>
    <row r="28" spans="1:5" s="3" customFormat="1" ht="12.75">
      <c r="A28" s="21" t="s">
        <v>1010</v>
      </c>
      <c r="B28" s="4" t="s">
        <v>1006</v>
      </c>
      <c r="C28" s="4" t="s">
        <v>984</v>
      </c>
      <c r="D28" s="4" t="s">
        <v>1009</v>
      </c>
      <c r="E28" s="25" t="s">
        <v>1008</v>
      </c>
    </row>
    <row r="29" spans="1:5" s="3" customFormat="1" ht="12.75">
      <c r="A29" s="21" t="s">
        <v>1007</v>
      </c>
      <c r="B29" s="4" t="s">
        <v>1006</v>
      </c>
      <c r="C29" s="4" t="s">
        <v>984</v>
      </c>
      <c r="D29" s="4" t="s">
        <v>996</v>
      </c>
      <c r="E29" s="25" t="s">
        <v>1005</v>
      </c>
    </row>
    <row r="31" spans="1:5" s="3" customFormat="1" ht="14.25">
      <c r="A31" s="22"/>
      <c r="B31" s="23" t="s">
        <v>253</v>
      </c>
      <c r="C31" s="4"/>
      <c r="D31" s="4"/>
      <c r="E31" s="4"/>
    </row>
    <row r="32" spans="1:5" s="3" customFormat="1" ht="15">
      <c r="A32" s="24" t="s">
        <v>243</v>
      </c>
      <c r="B32" s="24" t="s">
        <v>244</v>
      </c>
      <c r="C32" s="24" t="s">
        <v>245</v>
      </c>
      <c r="D32" s="24" t="s">
        <v>246</v>
      </c>
      <c r="E32" s="24" t="s">
        <v>991</v>
      </c>
    </row>
    <row r="33" spans="1:5" s="3" customFormat="1" ht="12.75">
      <c r="A33" s="21" t="s">
        <v>662</v>
      </c>
      <c r="B33" s="4" t="s">
        <v>253</v>
      </c>
      <c r="C33" s="4" t="s">
        <v>984</v>
      </c>
      <c r="D33" s="4" t="s">
        <v>1004</v>
      </c>
      <c r="E33" s="25" t="s">
        <v>1003</v>
      </c>
    </row>
    <row r="34" spans="1:5" s="3" customFormat="1" ht="12.75">
      <c r="A34" s="21" t="s">
        <v>1002</v>
      </c>
      <c r="B34" s="4" t="s">
        <v>253</v>
      </c>
      <c r="C34" s="4" t="s">
        <v>984</v>
      </c>
      <c r="D34" s="4" t="s">
        <v>1001</v>
      </c>
      <c r="E34" s="25" t="s">
        <v>1000</v>
      </c>
    </row>
    <row r="35" spans="1:5" s="3" customFormat="1" ht="12.75">
      <c r="A35" s="21" t="s">
        <v>924</v>
      </c>
      <c r="B35" s="4" t="s">
        <v>253</v>
      </c>
      <c r="C35" s="4" t="s">
        <v>984</v>
      </c>
      <c r="D35" s="4" t="s">
        <v>999</v>
      </c>
      <c r="E35" s="25" t="s">
        <v>998</v>
      </c>
    </row>
    <row r="36" spans="1:5" s="3" customFormat="1" ht="12.75">
      <c r="A36" s="21" t="s">
        <v>997</v>
      </c>
      <c r="B36" s="4" t="s">
        <v>253</v>
      </c>
      <c r="C36" s="4" t="s">
        <v>984</v>
      </c>
      <c r="D36" s="4" t="s">
        <v>996</v>
      </c>
      <c r="E36" s="25" t="s">
        <v>995</v>
      </c>
    </row>
    <row r="37" spans="1:5" s="3" customFormat="1" ht="12.75">
      <c r="A37" s="21" t="s">
        <v>994</v>
      </c>
      <c r="B37" s="4" t="s">
        <v>253</v>
      </c>
      <c r="C37" s="4" t="s">
        <v>984</v>
      </c>
      <c r="D37" s="4" t="s">
        <v>993</v>
      </c>
      <c r="E37" s="25" t="s">
        <v>992</v>
      </c>
    </row>
    <row r="39" spans="1:5" s="3" customFormat="1" ht="14.25">
      <c r="A39" s="22"/>
      <c r="B39" s="23" t="s">
        <v>303</v>
      </c>
      <c r="C39" s="4"/>
      <c r="D39" s="4"/>
      <c r="E39" s="4"/>
    </row>
    <row r="40" spans="1:5" s="3" customFormat="1" ht="15">
      <c r="A40" s="24" t="s">
        <v>243</v>
      </c>
      <c r="B40" s="24" t="s">
        <v>244</v>
      </c>
      <c r="C40" s="24" t="s">
        <v>245</v>
      </c>
      <c r="D40" s="24" t="s">
        <v>246</v>
      </c>
      <c r="E40" s="24" t="s">
        <v>991</v>
      </c>
    </row>
    <row r="41" spans="1:5" s="3" customFormat="1" ht="12.75">
      <c r="A41" s="21" t="s">
        <v>990</v>
      </c>
      <c r="B41" s="4" t="s">
        <v>989</v>
      </c>
      <c r="C41" s="4" t="s">
        <v>984</v>
      </c>
      <c r="D41" s="4" t="s">
        <v>988</v>
      </c>
      <c r="E41" s="25" t="s">
        <v>987</v>
      </c>
    </row>
    <row r="42" spans="1:5" s="3" customFormat="1" ht="12.75">
      <c r="A42" s="21" t="s">
        <v>986</v>
      </c>
      <c r="B42" s="4" t="s">
        <v>985</v>
      </c>
      <c r="C42" s="4" t="s">
        <v>984</v>
      </c>
      <c r="D42" s="4" t="s">
        <v>983</v>
      </c>
      <c r="E42" s="25" t="s">
        <v>982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7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43" t="s">
        <v>882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3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8" t="s">
        <v>562</v>
      </c>
      <c r="B6" s="8" t="s">
        <v>563</v>
      </c>
      <c r="C6" s="8" t="s">
        <v>419</v>
      </c>
      <c r="D6" s="8" t="str">
        <f>"0,7717"</f>
        <v>0,7717</v>
      </c>
      <c r="E6" s="8" t="s">
        <v>24</v>
      </c>
      <c r="F6" s="8" t="s">
        <v>317</v>
      </c>
      <c r="G6" s="9" t="s">
        <v>28</v>
      </c>
      <c r="H6" s="9" t="s">
        <v>79</v>
      </c>
      <c r="I6" s="9" t="s">
        <v>42</v>
      </c>
      <c r="J6" s="10"/>
      <c r="K6" s="8" t="str">
        <f>"100,0"</f>
        <v>100,0</v>
      </c>
      <c r="L6" s="9" t="str">
        <f>"78,7134"</f>
        <v>78,7134</v>
      </c>
      <c r="M6" s="8" t="s">
        <v>564</v>
      </c>
    </row>
    <row r="8" spans="1:12" ht="15">
      <c r="A8" s="44" t="s">
        <v>196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2.75">
      <c r="A9" s="11" t="s">
        <v>827</v>
      </c>
      <c r="B9" s="11" t="s">
        <v>828</v>
      </c>
      <c r="C9" s="11" t="s">
        <v>829</v>
      </c>
      <c r="D9" s="11" t="str">
        <f>"0,5881"</f>
        <v>0,5881</v>
      </c>
      <c r="E9" s="11" t="s">
        <v>24</v>
      </c>
      <c r="F9" s="11" t="s">
        <v>317</v>
      </c>
      <c r="G9" s="12" t="s">
        <v>187</v>
      </c>
      <c r="H9" s="12" t="s">
        <v>179</v>
      </c>
      <c r="I9" s="13" t="s">
        <v>729</v>
      </c>
      <c r="J9" s="13"/>
      <c r="K9" s="11" t="str">
        <f>"260,0"</f>
        <v>260,0</v>
      </c>
      <c r="L9" s="12" t="str">
        <f>"152,9060"</f>
        <v>152,9060</v>
      </c>
      <c r="M9" s="11" t="s">
        <v>83</v>
      </c>
    </row>
    <row r="10" spans="1:13" ht="12.75">
      <c r="A10" s="14" t="s">
        <v>831</v>
      </c>
      <c r="B10" s="14" t="s">
        <v>832</v>
      </c>
      <c r="C10" s="14" t="s">
        <v>833</v>
      </c>
      <c r="D10" s="14" t="str">
        <f>"0,5926"</f>
        <v>0,5926</v>
      </c>
      <c r="E10" s="14" t="s">
        <v>24</v>
      </c>
      <c r="F10" s="14" t="s">
        <v>52</v>
      </c>
      <c r="G10" s="16" t="s">
        <v>194</v>
      </c>
      <c r="H10" s="16" t="s">
        <v>195</v>
      </c>
      <c r="I10" s="16" t="s">
        <v>177</v>
      </c>
      <c r="J10" s="15"/>
      <c r="K10" s="14" t="str">
        <f>"235,0"</f>
        <v>235,0</v>
      </c>
      <c r="L10" s="16" t="str">
        <f>"139,2610"</f>
        <v>139,2610</v>
      </c>
      <c r="M10" s="14" t="s">
        <v>834</v>
      </c>
    </row>
    <row r="12" spans="1:12" ht="15">
      <c r="A12" s="44" t="s">
        <v>228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3" ht="12.75">
      <c r="A13" s="11" t="s">
        <v>836</v>
      </c>
      <c r="B13" s="11" t="s">
        <v>837</v>
      </c>
      <c r="C13" s="11" t="s">
        <v>838</v>
      </c>
      <c r="D13" s="11" t="str">
        <f>"0,5448"</f>
        <v>0,5448</v>
      </c>
      <c r="E13" s="11" t="s">
        <v>24</v>
      </c>
      <c r="F13" s="11" t="s">
        <v>839</v>
      </c>
      <c r="G13" s="12" t="s">
        <v>187</v>
      </c>
      <c r="H13" s="12" t="s">
        <v>729</v>
      </c>
      <c r="I13" s="13" t="s">
        <v>840</v>
      </c>
      <c r="J13" s="13"/>
      <c r="K13" s="11" t="str">
        <f>"270,0"</f>
        <v>270,0</v>
      </c>
      <c r="L13" s="12" t="str">
        <f>"147,0960"</f>
        <v>147,0960</v>
      </c>
      <c r="M13" s="11" t="s">
        <v>83</v>
      </c>
    </row>
    <row r="14" spans="1:13" ht="12.75">
      <c r="A14" s="17" t="s">
        <v>842</v>
      </c>
      <c r="B14" s="17" t="s">
        <v>843</v>
      </c>
      <c r="C14" s="17" t="s">
        <v>844</v>
      </c>
      <c r="D14" s="17" t="str">
        <f>"0,5378"</f>
        <v>0,5378</v>
      </c>
      <c r="E14" s="17" t="s">
        <v>69</v>
      </c>
      <c r="F14" s="17" t="s">
        <v>52</v>
      </c>
      <c r="G14" s="18" t="s">
        <v>187</v>
      </c>
      <c r="H14" s="18" t="s">
        <v>732</v>
      </c>
      <c r="I14" s="19" t="s">
        <v>845</v>
      </c>
      <c r="J14" s="19"/>
      <c r="K14" s="17" t="str">
        <f>"265,0"</f>
        <v>265,0</v>
      </c>
      <c r="L14" s="18" t="str">
        <f>"142,5170"</f>
        <v>142,5170</v>
      </c>
      <c r="M14" s="17" t="s">
        <v>73</v>
      </c>
    </row>
    <row r="15" spans="1:13" ht="12.75">
      <c r="A15" s="14" t="s">
        <v>847</v>
      </c>
      <c r="B15" s="14" t="s">
        <v>848</v>
      </c>
      <c r="C15" s="14" t="s">
        <v>849</v>
      </c>
      <c r="D15" s="14" t="str">
        <f>"0,5393"</f>
        <v>0,5393</v>
      </c>
      <c r="E15" s="14" t="s">
        <v>24</v>
      </c>
      <c r="F15" s="14" t="s">
        <v>311</v>
      </c>
      <c r="G15" s="16" t="s">
        <v>195</v>
      </c>
      <c r="H15" s="16" t="s">
        <v>186</v>
      </c>
      <c r="I15" s="16" t="s">
        <v>319</v>
      </c>
      <c r="J15" s="15"/>
      <c r="K15" s="14" t="str">
        <f>"245,0"</f>
        <v>245,0</v>
      </c>
      <c r="L15" s="16" t="str">
        <f>"154,9867"</f>
        <v>154,9867</v>
      </c>
      <c r="M15" s="14" t="s">
        <v>83</v>
      </c>
    </row>
    <row r="17" spans="1:12" ht="15">
      <c r="A17" s="44" t="s">
        <v>609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3" ht="12.75">
      <c r="A18" s="11" t="s">
        <v>851</v>
      </c>
      <c r="B18" s="11" t="s">
        <v>852</v>
      </c>
      <c r="C18" s="11" t="s">
        <v>613</v>
      </c>
      <c r="D18" s="11" t="str">
        <f>"0,5210"</f>
        <v>0,5210</v>
      </c>
      <c r="E18" s="11" t="s">
        <v>69</v>
      </c>
      <c r="F18" s="11" t="s">
        <v>70</v>
      </c>
      <c r="G18" s="12" t="s">
        <v>185</v>
      </c>
      <c r="H18" s="12" t="s">
        <v>323</v>
      </c>
      <c r="I18" s="12" t="s">
        <v>177</v>
      </c>
      <c r="J18" s="13"/>
      <c r="K18" s="11" t="str">
        <f>"235,0"</f>
        <v>235,0</v>
      </c>
      <c r="L18" s="12" t="str">
        <f>"127,3324"</f>
        <v>127,3324</v>
      </c>
      <c r="M18" s="11" t="s">
        <v>73</v>
      </c>
    </row>
    <row r="19" spans="1:13" ht="12.75">
      <c r="A19" s="14" t="s">
        <v>854</v>
      </c>
      <c r="B19" s="14" t="s">
        <v>855</v>
      </c>
      <c r="C19" s="14" t="s">
        <v>856</v>
      </c>
      <c r="D19" s="14" t="str">
        <f>"0,5293"</f>
        <v>0,5293</v>
      </c>
      <c r="E19" s="14" t="s">
        <v>24</v>
      </c>
      <c r="F19" s="14" t="s">
        <v>52</v>
      </c>
      <c r="G19" s="16" t="s">
        <v>733</v>
      </c>
      <c r="H19" s="16" t="s">
        <v>713</v>
      </c>
      <c r="I19" s="15" t="s">
        <v>714</v>
      </c>
      <c r="J19" s="15"/>
      <c r="K19" s="14" t="str">
        <f>"300,0"</f>
        <v>300,0</v>
      </c>
      <c r="L19" s="16" t="str">
        <f>"158,7900"</f>
        <v>158,7900</v>
      </c>
      <c r="M19" s="14" t="s">
        <v>83</v>
      </c>
    </row>
    <row r="21" ht="15">
      <c r="E21" s="6" t="s">
        <v>12</v>
      </c>
    </row>
    <row r="22" ht="15">
      <c r="E22" s="6" t="s">
        <v>13</v>
      </c>
    </row>
    <row r="23" ht="15">
      <c r="E23" s="6" t="s">
        <v>14</v>
      </c>
    </row>
    <row r="24" ht="15">
      <c r="E24" s="6" t="s">
        <v>15</v>
      </c>
    </row>
    <row r="25" ht="15">
      <c r="E25" s="6" t="s">
        <v>15</v>
      </c>
    </row>
    <row r="26" ht="15">
      <c r="E26" s="6" t="s">
        <v>16</v>
      </c>
    </row>
    <row r="27" ht="15">
      <c r="E27" s="6"/>
    </row>
    <row r="29" spans="1:2" ht="18">
      <c r="A29" s="7" t="s">
        <v>17</v>
      </c>
      <c r="B29" s="7"/>
    </row>
    <row r="30" spans="1:2" ht="15">
      <c r="A30" s="20" t="s">
        <v>269</v>
      </c>
      <c r="B30" s="20"/>
    </row>
    <row r="31" spans="1:2" ht="14.25">
      <c r="A31" s="22"/>
      <c r="B31" s="23" t="s">
        <v>270</v>
      </c>
    </row>
    <row r="32" spans="1:5" ht="15">
      <c r="A32" s="24" t="s">
        <v>243</v>
      </c>
      <c r="B32" s="24" t="s">
        <v>244</v>
      </c>
      <c r="C32" s="24" t="s">
        <v>245</v>
      </c>
      <c r="D32" s="24" t="s">
        <v>246</v>
      </c>
      <c r="E32" s="24" t="s">
        <v>247</v>
      </c>
    </row>
    <row r="33" spans="1:5" ht="12.75">
      <c r="A33" s="21" t="s">
        <v>850</v>
      </c>
      <c r="B33" s="4" t="s">
        <v>250</v>
      </c>
      <c r="C33" s="4" t="s">
        <v>105</v>
      </c>
      <c r="D33" s="4" t="s">
        <v>177</v>
      </c>
      <c r="E33" s="25" t="s">
        <v>857</v>
      </c>
    </row>
    <row r="35" spans="1:2" ht="14.25">
      <c r="A35" s="22"/>
      <c r="B35" s="23" t="s">
        <v>278</v>
      </c>
    </row>
    <row r="36" spans="1:5" ht="15">
      <c r="A36" s="24" t="s">
        <v>243</v>
      </c>
      <c r="B36" s="24" t="s">
        <v>244</v>
      </c>
      <c r="C36" s="24" t="s">
        <v>245</v>
      </c>
      <c r="D36" s="24" t="s">
        <v>246</v>
      </c>
      <c r="E36" s="24" t="s">
        <v>247</v>
      </c>
    </row>
    <row r="37" spans="1:5" ht="12.75">
      <c r="A37" s="21" t="s">
        <v>561</v>
      </c>
      <c r="B37" s="4" t="s">
        <v>279</v>
      </c>
      <c r="C37" s="4" t="s">
        <v>144</v>
      </c>
      <c r="D37" s="4" t="s">
        <v>42</v>
      </c>
      <c r="E37" s="25" t="s">
        <v>858</v>
      </c>
    </row>
    <row r="39" spans="1:2" ht="14.25">
      <c r="A39" s="22"/>
      <c r="B39" s="23" t="s">
        <v>253</v>
      </c>
    </row>
    <row r="40" spans="1:5" ht="15">
      <c r="A40" s="24" t="s">
        <v>243</v>
      </c>
      <c r="B40" s="24" t="s">
        <v>244</v>
      </c>
      <c r="C40" s="24" t="s">
        <v>245</v>
      </c>
      <c r="D40" s="24" t="s">
        <v>246</v>
      </c>
      <c r="E40" s="24" t="s">
        <v>247</v>
      </c>
    </row>
    <row r="41" spans="1:5" ht="12.75">
      <c r="A41" s="21" t="s">
        <v>853</v>
      </c>
      <c r="B41" s="4" t="s">
        <v>253</v>
      </c>
      <c r="C41" s="4" t="s">
        <v>105</v>
      </c>
      <c r="D41" s="4" t="s">
        <v>713</v>
      </c>
      <c r="E41" s="25" t="s">
        <v>859</v>
      </c>
    </row>
    <row r="42" spans="1:5" ht="12.75">
      <c r="A42" s="21" t="s">
        <v>826</v>
      </c>
      <c r="B42" s="4" t="s">
        <v>253</v>
      </c>
      <c r="C42" s="4" t="s">
        <v>79</v>
      </c>
      <c r="D42" s="4" t="s">
        <v>179</v>
      </c>
      <c r="E42" s="25" t="s">
        <v>860</v>
      </c>
    </row>
    <row r="43" spans="1:5" ht="12.75">
      <c r="A43" s="21" t="s">
        <v>835</v>
      </c>
      <c r="B43" s="4" t="s">
        <v>253</v>
      </c>
      <c r="C43" s="4" t="s">
        <v>81</v>
      </c>
      <c r="D43" s="4" t="s">
        <v>729</v>
      </c>
      <c r="E43" s="25" t="s">
        <v>861</v>
      </c>
    </row>
    <row r="44" spans="1:5" ht="12.75">
      <c r="A44" s="21" t="s">
        <v>841</v>
      </c>
      <c r="B44" s="4" t="s">
        <v>253</v>
      </c>
      <c r="C44" s="4" t="s">
        <v>81</v>
      </c>
      <c r="D44" s="4" t="s">
        <v>732</v>
      </c>
      <c r="E44" s="25" t="s">
        <v>862</v>
      </c>
    </row>
    <row r="45" spans="1:5" ht="12.75">
      <c r="A45" s="21" t="s">
        <v>830</v>
      </c>
      <c r="B45" s="4" t="s">
        <v>253</v>
      </c>
      <c r="C45" s="4" t="s">
        <v>79</v>
      </c>
      <c r="D45" s="4" t="s">
        <v>177</v>
      </c>
      <c r="E45" s="25" t="s">
        <v>863</v>
      </c>
    </row>
    <row r="47" spans="1:2" ht="14.25">
      <c r="A47" s="22"/>
      <c r="B47" s="23" t="s">
        <v>303</v>
      </c>
    </row>
    <row r="48" spans="1:5" ht="15">
      <c r="A48" s="24" t="s">
        <v>243</v>
      </c>
      <c r="B48" s="24" t="s">
        <v>244</v>
      </c>
      <c r="C48" s="24" t="s">
        <v>245</v>
      </c>
      <c r="D48" s="24" t="s">
        <v>246</v>
      </c>
      <c r="E48" s="24" t="s">
        <v>247</v>
      </c>
    </row>
    <row r="49" spans="1:5" ht="12.75">
      <c r="A49" s="21" t="s">
        <v>846</v>
      </c>
      <c r="B49" s="4" t="s">
        <v>304</v>
      </c>
      <c r="C49" s="4" t="s">
        <v>81</v>
      </c>
      <c r="D49" s="4" t="s">
        <v>319</v>
      </c>
      <c r="E49" s="25" t="s">
        <v>864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K3:K4"/>
    <mergeCell ref="L3:L4"/>
    <mergeCell ref="M3:M4"/>
    <mergeCell ref="A5:L5"/>
    <mergeCell ref="A8:L8"/>
    <mergeCell ref="A12:L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875" style="4" bestFit="1" customWidth="1"/>
    <col min="14" max="16384" width="9.125" style="3" customWidth="1"/>
  </cols>
  <sheetData>
    <row r="1" spans="1:13" s="2" customFormat="1" ht="28.5" customHeight="1">
      <c r="A1" s="43" t="s">
        <v>881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3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11" t="s">
        <v>35</v>
      </c>
      <c r="B6" s="11" t="s">
        <v>36</v>
      </c>
      <c r="C6" s="11" t="s">
        <v>37</v>
      </c>
      <c r="D6" s="11" t="str">
        <f>"0,9935"</f>
        <v>0,9935</v>
      </c>
      <c r="E6" s="11" t="s">
        <v>38</v>
      </c>
      <c r="F6" s="11" t="s">
        <v>39</v>
      </c>
      <c r="G6" s="12" t="s">
        <v>42</v>
      </c>
      <c r="H6" s="13" t="s">
        <v>46</v>
      </c>
      <c r="I6" s="13" t="s">
        <v>46</v>
      </c>
      <c r="J6" s="13"/>
      <c r="K6" s="11" t="str">
        <f>"100,0"</f>
        <v>100,0</v>
      </c>
      <c r="L6" s="12" t="str">
        <f>"99,3500"</f>
        <v>99,3500</v>
      </c>
      <c r="M6" s="11" t="s">
        <v>47</v>
      </c>
    </row>
    <row r="7" spans="1:13" ht="12.75">
      <c r="A7" s="14" t="s">
        <v>746</v>
      </c>
      <c r="B7" s="14" t="s">
        <v>747</v>
      </c>
      <c r="C7" s="14" t="s">
        <v>748</v>
      </c>
      <c r="D7" s="14" t="str">
        <f>"0,9992"</f>
        <v>0,9992</v>
      </c>
      <c r="E7" s="14" t="s">
        <v>24</v>
      </c>
      <c r="F7" s="14" t="s">
        <v>221</v>
      </c>
      <c r="G7" s="15" t="s">
        <v>41</v>
      </c>
      <c r="H7" s="15" t="s">
        <v>41</v>
      </c>
      <c r="I7" s="16" t="s">
        <v>41</v>
      </c>
      <c r="J7" s="15"/>
      <c r="K7" s="14" t="str">
        <f>"95,0"</f>
        <v>95,0</v>
      </c>
      <c r="L7" s="16" t="str">
        <f>"94,9240"</f>
        <v>94,9240</v>
      </c>
      <c r="M7" s="14" t="s">
        <v>83</v>
      </c>
    </row>
    <row r="9" spans="1:12" ht="15">
      <c r="A9" s="44" t="s">
        <v>64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3" ht="12.75">
      <c r="A10" s="8" t="s">
        <v>75</v>
      </c>
      <c r="B10" s="8" t="s">
        <v>76</v>
      </c>
      <c r="C10" s="8" t="s">
        <v>77</v>
      </c>
      <c r="D10" s="8" t="str">
        <f>"0,8831"</f>
        <v>0,8831</v>
      </c>
      <c r="E10" s="8" t="s">
        <v>24</v>
      </c>
      <c r="F10" s="8" t="s">
        <v>78</v>
      </c>
      <c r="G10" s="9" t="s">
        <v>81</v>
      </c>
      <c r="H10" s="10" t="s">
        <v>82</v>
      </c>
      <c r="I10" s="10" t="s">
        <v>82</v>
      </c>
      <c r="J10" s="10"/>
      <c r="K10" s="8" t="str">
        <f>"110,0"</f>
        <v>110,0</v>
      </c>
      <c r="L10" s="9" t="str">
        <f>"97,1465"</f>
        <v>97,1465</v>
      </c>
      <c r="M10" s="8" t="s">
        <v>83</v>
      </c>
    </row>
    <row r="12" spans="1:12" ht="15">
      <c r="A12" s="44" t="s">
        <v>111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3" ht="12.75">
      <c r="A13" s="8" t="s">
        <v>113</v>
      </c>
      <c r="B13" s="8" t="s">
        <v>114</v>
      </c>
      <c r="C13" s="8" t="s">
        <v>115</v>
      </c>
      <c r="D13" s="8" t="str">
        <f>"0,6777"</f>
        <v>0,6777</v>
      </c>
      <c r="E13" s="8" t="s">
        <v>24</v>
      </c>
      <c r="F13" s="8" t="s">
        <v>116</v>
      </c>
      <c r="G13" s="9" t="s">
        <v>117</v>
      </c>
      <c r="H13" s="9" t="s">
        <v>118</v>
      </c>
      <c r="I13" s="9" t="s">
        <v>89</v>
      </c>
      <c r="J13" s="10"/>
      <c r="K13" s="8" t="str">
        <f>"145,0"</f>
        <v>145,0</v>
      </c>
      <c r="L13" s="9" t="str">
        <f>"98,2665"</f>
        <v>98,2665</v>
      </c>
      <c r="M13" s="8" t="s">
        <v>119</v>
      </c>
    </row>
    <row r="15" spans="1:12" ht="15">
      <c r="A15" s="44" t="s">
        <v>58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 ht="12.75">
      <c r="A16" s="8" t="s">
        <v>121</v>
      </c>
      <c r="B16" s="8" t="s">
        <v>122</v>
      </c>
      <c r="C16" s="8" t="s">
        <v>123</v>
      </c>
      <c r="D16" s="8" t="s">
        <v>874</v>
      </c>
      <c r="E16" s="8" t="s">
        <v>124</v>
      </c>
      <c r="F16" s="8" t="s">
        <v>52</v>
      </c>
      <c r="G16" s="9" t="s">
        <v>870</v>
      </c>
      <c r="H16" s="9" t="s">
        <v>871</v>
      </c>
      <c r="I16" s="10" t="s">
        <v>872</v>
      </c>
      <c r="J16" s="10"/>
      <c r="K16" s="8" t="s">
        <v>871</v>
      </c>
      <c r="L16" s="9" t="s">
        <v>875</v>
      </c>
      <c r="M16" s="8" t="s">
        <v>129</v>
      </c>
    </row>
    <row r="18" spans="1:12" ht="15">
      <c r="A18" s="44" t="s">
        <v>84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3" ht="12.75">
      <c r="A19" s="8" t="s">
        <v>750</v>
      </c>
      <c r="B19" s="8" t="s">
        <v>751</v>
      </c>
      <c r="C19" s="8" t="s">
        <v>644</v>
      </c>
      <c r="D19" s="8" t="str">
        <f>"0,7460"</f>
        <v>0,7460</v>
      </c>
      <c r="E19" s="8" t="s">
        <v>24</v>
      </c>
      <c r="F19" s="8" t="s">
        <v>52</v>
      </c>
      <c r="G19" s="9" t="s">
        <v>227</v>
      </c>
      <c r="H19" s="9" t="s">
        <v>169</v>
      </c>
      <c r="I19" s="10" t="s">
        <v>752</v>
      </c>
      <c r="J19" s="10"/>
      <c r="K19" s="8" t="str">
        <f>"185,0"</f>
        <v>185,0</v>
      </c>
      <c r="L19" s="9" t="str">
        <f>"138,0100"</f>
        <v>138,0100</v>
      </c>
      <c r="M19" s="8" t="s">
        <v>83</v>
      </c>
    </row>
    <row r="21" spans="1:12" ht="15">
      <c r="A21" s="44" t="s">
        <v>150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3" ht="12.75">
      <c r="A22" s="11" t="s">
        <v>754</v>
      </c>
      <c r="B22" s="11" t="s">
        <v>755</v>
      </c>
      <c r="C22" s="11" t="s">
        <v>756</v>
      </c>
      <c r="D22" s="11" t="str">
        <f>"0,6835"</f>
        <v>0,6835</v>
      </c>
      <c r="E22" s="11" t="s">
        <v>24</v>
      </c>
      <c r="F22" s="11" t="s">
        <v>52</v>
      </c>
      <c r="G22" s="12" t="s">
        <v>157</v>
      </c>
      <c r="H22" s="12" t="s">
        <v>207</v>
      </c>
      <c r="I22" s="12" t="s">
        <v>185</v>
      </c>
      <c r="J22" s="13"/>
      <c r="K22" s="11" t="str">
        <f>"215,0"</f>
        <v>215,0</v>
      </c>
      <c r="L22" s="12" t="str">
        <f>"146,9525"</f>
        <v>146,9525</v>
      </c>
      <c r="M22" s="11" t="s">
        <v>83</v>
      </c>
    </row>
    <row r="23" spans="1:13" ht="12.75">
      <c r="A23" s="17" t="s">
        <v>757</v>
      </c>
      <c r="B23" s="17" t="s">
        <v>153</v>
      </c>
      <c r="C23" s="17" t="s">
        <v>154</v>
      </c>
      <c r="D23" s="17" t="str">
        <f>"0,6947"</f>
        <v>0,6947</v>
      </c>
      <c r="E23" s="17" t="s">
        <v>24</v>
      </c>
      <c r="F23" s="17" t="s">
        <v>78</v>
      </c>
      <c r="G23" s="18" t="s">
        <v>156</v>
      </c>
      <c r="H23" s="18" t="s">
        <v>157</v>
      </c>
      <c r="I23" s="18" t="s">
        <v>158</v>
      </c>
      <c r="J23" s="19"/>
      <c r="K23" s="17" t="str">
        <f>"205,0"</f>
        <v>205,0</v>
      </c>
      <c r="L23" s="18" t="str">
        <f>"142,4117"</f>
        <v>142,4117</v>
      </c>
      <c r="M23" s="17" t="s">
        <v>83</v>
      </c>
    </row>
    <row r="24" spans="1:13" ht="12.75">
      <c r="A24" s="14" t="s">
        <v>759</v>
      </c>
      <c r="B24" s="14" t="s">
        <v>760</v>
      </c>
      <c r="C24" s="14" t="s">
        <v>450</v>
      </c>
      <c r="D24" s="14" t="str">
        <f>"0,6652"</f>
        <v>0,6652</v>
      </c>
      <c r="E24" s="14" t="s">
        <v>24</v>
      </c>
      <c r="F24" s="14" t="s">
        <v>311</v>
      </c>
      <c r="G24" s="16" t="s">
        <v>169</v>
      </c>
      <c r="H24" s="15" t="s">
        <v>158</v>
      </c>
      <c r="I24" s="15" t="s">
        <v>158</v>
      </c>
      <c r="J24" s="15"/>
      <c r="K24" s="14" t="str">
        <f>"185,0"</f>
        <v>185,0</v>
      </c>
      <c r="L24" s="16" t="str">
        <f>"123,0620"</f>
        <v>123,0620</v>
      </c>
      <c r="M24" s="14" t="s">
        <v>83</v>
      </c>
    </row>
    <row r="26" spans="1:12" ht="15">
      <c r="A26" s="44" t="s">
        <v>111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3" ht="12.75">
      <c r="A27" s="11" t="s">
        <v>668</v>
      </c>
      <c r="B27" s="11" t="s">
        <v>669</v>
      </c>
      <c r="C27" s="11" t="s">
        <v>670</v>
      </c>
      <c r="D27" s="11" t="str">
        <f>"0,6214"</f>
        <v>0,6214</v>
      </c>
      <c r="E27" s="11" t="s">
        <v>24</v>
      </c>
      <c r="F27" s="11" t="s">
        <v>671</v>
      </c>
      <c r="G27" s="12" t="s">
        <v>118</v>
      </c>
      <c r="H27" s="12" t="s">
        <v>126</v>
      </c>
      <c r="I27" s="12" t="s">
        <v>91</v>
      </c>
      <c r="J27" s="13"/>
      <c r="K27" s="11" t="str">
        <f>"160,0"</f>
        <v>160,0</v>
      </c>
      <c r="L27" s="12" t="str">
        <f>"107,3779"</f>
        <v>107,3779</v>
      </c>
      <c r="M27" s="11" t="s">
        <v>83</v>
      </c>
    </row>
    <row r="28" spans="1:13" ht="12.75">
      <c r="A28" s="17" t="s">
        <v>762</v>
      </c>
      <c r="B28" s="17" t="s">
        <v>763</v>
      </c>
      <c r="C28" s="17" t="s">
        <v>764</v>
      </c>
      <c r="D28" s="17" t="str">
        <f>"0,6358"</f>
        <v>0,6358</v>
      </c>
      <c r="E28" s="17" t="s">
        <v>24</v>
      </c>
      <c r="F28" s="17" t="s">
        <v>317</v>
      </c>
      <c r="G28" s="18" t="s">
        <v>94</v>
      </c>
      <c r="H28" s="18" t="s">
        <v>128</v>
      </c>
      <c r="I28" s="19" t="s">
        <v>156</v>
      </c>
      <c r="J28" s="19"/>
      <c r="K28" s="17" t="str">
        <f>"180,0"</f>
        <v>180,0</v>
      </c>
      <c r="L28" s="18" t="str">
        <f>"121,3106"</f>
        <v>121,3106</v>
      </c>
      <c r="M28" s="17" t="s">
        <v>83</v>
      </c>
    </row>
    <row r="29" spans="1:13" ht="12.75">
      <c r="A29" s="17" t="s">
        <v>765</v>
      </c>
      <c r="B29" s="17" t="s">
        <v>182</v>
      </c>
      <c r="C29" s="17" t="s">
        <v>183</v>
      </c>
      <c r="D29" s="17" t="str">
        <f>"0,6251"</f>
        <v>0,6251</v>
      </c>
      <c r="E29" s="17" t="s">
        <v>24</v>
      </c>
      <c r="F29" s="17" t="s">
        <v>184</v>
      </c>
      <c r="G29" s="18" t="s">
        <v>187</v>
      </c>
      <c r="H29" s="19" t="s">
        <v>179</v>
      </c>
      <c r="I29" s="19"/>
      <c r="J29" s="19"/>
      <c r="K29" s="17" t="str">
        <f>"250,0"</f>
        <v>250,0</v>
      </c>
      <c r="L29" s="18" t="str">
        <f>"156,2750"</f>
        <v>156,2750</v>
      </c>
      <c r="M29" s="17" t="s">
        <v>83</v>
      </c>
    </row>
    <row r="30" spans="1:13" ht="12.75">
      <c r="A30" s="17" t="s">
        <v>463</v>
      </c>
      <c r="B30" s="17" t="s">
        <v>464</v>
      </c>
      <c r="C30" s="17" t="s">
        <v>766</v>
      </c>
      <c r="D30" s="17" t="str">
        <f>"0,6376"</f>
        <v>0,6376</v>
      </c>
      <c r="E30" s="17" t="s">
        <v>124</v>
      </c>
      <c r="F30" s="17" t="s">
        <v>52</v>
      </c>
      <c r="G30" s="18" t="s">
        <v>157</v>
      </c>
      <c r="H30" s="18" t="s">
        <v>767</v>
      </c>
      <c r="I30" s="18" t="s">
        <v>234</v>
      </c>
      <c r="J30" s="19"/>
      <c r="K30" s="17" t="str">
        <f>"225,0"</f>
        <v>225,0</v>
      </c>
      <c r="L30" s="18" t="s">
        <v>873</v>
      </c>
      <c r="M30" s="17" t="s">
        <v>83</v>
      </c>
    </row>
    <row r="31" spans="1:13" ht="12.75">
      <c r="A31" s="14" t="s">
        <v>769</v>
      </c>
      <c r="B31" s="14" t="s">
        <v>770</v>
      </c>
      <c r="C31" s="14" t="s">
        <v>771</v>
      </c>
      <c r="D31" s="14" t="str">
        <f>"0,6279"</f>
        <v>0,6279</v>
      </c>
      <c r="E31" s="14" t="s">
        <v>24</v>
      </c>
      <c r="F31" s="14" t="s">
        <v>772</v>
      </c>
      <c r="G31" s="15" t="s">
        <v>46</v>
      </c>
      <c r="H31" s="16" t="s">
        <v>46</v>
      </c>
      <c r="I31" s="16" t="s">
        <v>117</v>
      </c>
      <c r="J31" s="15"/>
      <c r="K31" s="14" t="str">
        <f>"130,0"</f>
        <v>130,0</v>
      </c>
      <c r="L31" s="16" t="str">
        <f>"160,8052"</f>
        <v>160,8052</v>
      </c>
      <c r="M31" s="14" t="s">
        <v>83</v>
      </c>
    </row>
    <row r="33" spans="1:12" ht="15">
      <c r="A33" s="44" t="s">
        <v>196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3" ht="12.75">
      <c r="A34" s="11" t="s">
        <v>774</v>
      </c>
      <c r="B34" s="11" t="s">
        <v>775</v>
      </c>
      <c r="C34" s="11" t="s">
        <v>485</v>
      </c>
      <c r="D34" s="11" t="str">
        <f>"0,5918"</f>
        <v>0,5918</v>
      </c>
      <c r="E34" s="11" t="s">
        <v>24</v>
      </c>
      <c r="F34" s="11" t="s">
        <v>52</v>
      </c>
      <c r="G34" s="12" t="s">
        <v>169</v>
      </c>
      <c r="H34" s="12" t="s">
        <v>157</v>
      </c>
      <c r="I34" s="13" t="s">
        <v>596</v>
      </c>
      <c r="J34" s="13"/>
      <c r="K34" s="11" t="str">
        <f>"200,0"</f>
        <v>200,0</v>
      </c>
      <c r="L34" s="12" t="str">
        <f>"118,3600"</f>
        <v>118,3600</v>
      </c>
      <c r="M34" s="11" t="s">
        <v>399</v>
      </c>
    </row>
    <row r="35" spans="1:13" ht="12.75">
      <c r="A35" s="17" t="s">
        <v>777</v>
      </c>
      <c r="B35" s="17" t="s">
        <v>778</v>
      </c>
      <c r="C35" s="17" t="s">
        <v>205</v>
      </c>
      <c r="D35" s="17" t="str">
        <f>"0,5853"</f>
        <v>0,5853</v>
      </c>
      <c r="E35" s="17" t="s">
        <v>470</v>
      </c>
      <c r="F35" s="17" t="s">
        <v>52</v>
      </c>
      <c r="G35" s="18" t="s">
        <v>195</v>
      </c>
      <c r="H35" s="18" t="s">
        <v>319</v>
      </c>
      <c r="I35" s="19" t="s">
        <v>779</v>
      </c>
      <c r="J35" s="19"/>
      <c r="K35" s="17" t="str">
        <f>"245,0"</f>
        <v>245,0</v>
      </c>
      <c r="L35" s="18" t="s">
        <v>815</v>
      </c>
      <c r="M35" s="17" t="s">
        <v>83</v>
      </c>
    </row>
    <row r="36" spans="1:13" ht="12.75">
      <c r="A36" s="14" t="s">
        <v>781</v>
      </c>
      <c r="B36" s="14" t="s">
        <v>782</v>
      </c>
      <c r="C36" s="14" t="s">
        <v>783</v>
      </c>
      <c r="D36" s="14" t="str">
        <f>"0,6036"</f>
        <v>0,6036</v>
      </c>
      <c r="E36" s="14" t="s">
        <v>24</v>
      </c>
      <c r="F36" s="14" t="s">
        <v>52</v>
      </c>
      <c r="G36" s="15" t="s">
        <v>158</v>
      </c>
      <c r="H36" s="16" t="s">
        <v>207</v>
      </c>
      <c r="I36" s="16" t="s">
        <v>234</v>
      </c>
      <c r="J36" s="15"/>
      <c r="K36" s="14" t="str">
        <f>"225,0"</f>
        <v>225,0</v>
      </c>
      <c r="L36" s="16" t="str">
        <f>"136,2174"</f>
        <v>136,2174</v>
      </c>
      <c r="M36" s="14" t="s">
        <v>83</v>
      </c>
    </row>
    <row r="38" spans="1:12" ht="15">
      <c r="A38" s="44" t="s">
        <v>208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3" ht="12.75">
      <c r="A39" s="11" t="s">
        <v>367</v>
      </c>
      <c r="B39" s="11" t="s">
        <v>368</v>
      </c>
      <c r="C39" s="11" t="s">
        <v>369</v>
      </c>
      <c r="D39" s="11" t="str">
        <f>"0,5553"</f>
        <v>0,5553</v>
      </c>
      <c r="E39" s="11" t="s">
        <v>124</v>
      </c>
      <c r="F39" s="11" t="s">
        <v>52</v>
      </c>
      <c r="G39" s="12" t="s">
        <v>207</v>
      </c>
      <c r="H39" s="12" t="s">
        <v>185</v>
      </c>
      <c r="I39" s="13"/>
      <c r="J39" s="13"/>
      <c r="K39" s="11" t="str">
        <f>"215,0"</f>
        <v>215,0</v>
      </c>
      <c r="L39" s="12" t="str">
        <f>"119,3895"</f>
        <v>119,3895</v>
      </c>
      <c r="M39" s="11" t="s">
        <v>129</v>
      </c>
    </row>
    <row r="40" spans="1:13" ht="12.75">
      <c r="A40" s="14" t="s">
        <v>785</v>
      </c>
      <c r="B40" s="14" t="s">
        <v>786</v>
      </c>
      <c r="C40" s="14" t="s">
        <v>787</v>
      </c>
      <c r="D40" s="14" t="str">
        <f>"0,5602"</f>
        <v>0,5602</v>
      </c>
      <c r="E40" s="14" t="s">
        <v>24</v>
      </c>
      <c r="F40" s="14" t="s">
        <v>25</v>
      </c>
      <c r="G40" s="16" t="s">
        <v>128</v>
      </c>
      <c r="H40" s="16" t="s">
        <v>156</v>
      </c>
      <c r="I40" s="16" t="s">
        <v>157</v>
      </c>
      <c r="J40" s="15"/>
      <c r="K40" s="14" t="str">
        <f>"200,0"</f>
        <v>200,0</v>
      </c>
      <c r="L40" s="16" t="str">
        <f>"112,0400"</f>
        <v>112,0400</v>
      </c>
      <c r="M40" s="14" t="s">
        <v>788</v>
      </c>
    </row>
    <row r="42" spans="1:12" ht="15">
      <c r="A42" s="44" t="s">
        <v>228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3" ht="12.75">
      <c r="A43" s="11" t="s">
        <v>790</v>
      </c>
      <c r="B43" s="11" t="s">
        <v>791</v>
      </c>
      <c r="C43" s="11" t="s">
        <v>239</v>
      </c>
      <c r="D43" s="11" t="str">
        <f>"0,5443"</f>
        <v>0,5443</v>
      </c>
      <c r="E43" s="11" t="s">
        <v>24</v>
      </c>
      <c r="F43" s="11" t="s">
        <v>52</v>
      </c>
      <c r="G43" s="13" t="s">
        <v>169</v>
      </c>
      <c r="H43" s="12" t="s">
        <v>157</v>
      </c>
      <c r="I43" s="12" t="s">
        <v>207</v>
      </c>
      <c r="J43" s="13"/>
      <c r="K43" s="11" t="str">
        <f>"210,0"</f>
        <v>210,0</v>
      </c>
      <c r="L43" s="12" t="str">
        <f>"118,8751"</f>
        <v>118,8751</v>
      </c>
      <c r="M43" s="11" t="s">
        <v>57</v>
      </c>
    </row>
    <row r="44" spans="1:13" ht="12.75">
      <c r="A44" s="17" t="s">
        <v>793</v>
      </c>
      <c r="B44" s="17" t="s">
        <v>794</v>
      </c>
      <c r="C44" s="17" t="s">
        <v>795</v>
      </c>
      <c r="D44" s="17" t="str">
        <f>"0,5455"</f>
        <v>0,5455</v>
      </c>
      <c r="E44" s="17" t="s">
        <v>24</v>
      </c>
      <c r="F44" s="17" t="s">
        <v>149</v>
      </c>
      <c r="G44" s="18" t="s">
        <v>157</v>
      </c>
      <c r="H44" s="18" t="s">
        <v>207</v>
      </c>
      <c r="I44" s="18" t="s">
        <v>194</v>
      </c>
      <c r="J44" s="19"/>
      <c r="K44" s="17" t="str">
        <f>"220,0"</f>
        <v>220,0</v>
      </c>
      <c r="L44" s="18" t="str">
        <f>"120,0100"</f>
        <v>120,0100</v>
      </c>
      <c r="M44" s="17" t="s">
        <v>83</v>
      </c>
    </row>
    <row r="45" spans="1:13" ht="12.75">
      <c r="A45" s="14" t="s">
        <v>797</v>
      </c>
      <c r="B45" s="14" t="s">
        <v>798</v>
      </c>
      <c r="C45" s="14" t="s">
        <v>348</v>
      </c>
      <c r="D45" s="14" t="str">
        <f>"0,5371"</f>
        <v>0,5371</v>
      </c>
      <c r="E45" s="14" t="s">
        <v>24</v>
      </c>
      <c r="F45" s="14" t="s">
        <v>311</v>
      </c>
      <c r="G45" s="16" t="s">
        <v>195</v>
      </c>
      <c r="H45" s="16" t="s">
        <v>799</v>
      </c>
      <c r="I45" s="15"/>
      <c r="J45" s="15"/>
      <c r="K45" s="14" t="str">
        <f>"242,5"</f>
        <v>242,5</v>
      </c>
      <c r="L45" s="16" t="str">
        <f>"130,6375"</f>
        <v>130,6375</v>
      </c>
      <c r="M45" s="14" t="s">
        <v>83</v>
      </c>
    </row>
    <row r="47" spans="1:12" ht="15">
      <c r="A47" s="44" t="s">
        <v>609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3" ht="12.75">
      <c r="A48" s="8" t="s">
        <v>801</v>
      </c>
      <c r="B48" s="8" t="s">
        <v>802</v>
      </c>
      <c r="C48" s="8" t="s">
        <v>803</v>
      </c>
      <c r="D48" s="8" t="str">
        <f>"0,5260"</f>
        <v>0,5260</v>
      </c>
      <c r="E48" s="8" t="s">
        <v>69</v>
      </c>
      <c r="F48" s="8" t="s">
        <v>70</v>
      </c>
      <c r="G48" s="9" t="s">
        <v>234</v>
      </c>
      <c r="H48" s="9" t="s">
        <v>177</v>
      </c>
      <c r="I48" s="9" t="s">
        <v>187</v>
      </c>
      <c r="J48" s="10"/>
      <c r="K48" s="8" t="str">
        <f>"250,0"</f>
        <v>250,0</v>
      </c>
      <c r="L48" s="9" t="str">
        <f>"134,1300"</f>
        <v>134,1300</v>
      </c>
      <c r="M48" s="8" t="s">
        <v>73</v>
      </c>
    </row>
    <row r="50" ht="15">
      <c r="E50" s="6" t="s">
        <v>12</v>
      </c>
    </row>
    <row r="51" ht="15">
      <c r="E51" s="6" t="s">
        <v>13</v>
      </c>
    </row>
    <row r="52" ht="15">
      <c r="E52" s="6" t="s">
        <v>14</v>
      </c>
    </row>
    <row r="53" ht="15">
      <c r="E53" s="6" t="s">
        <v>15</v>
      </c>
    </row>
    <row r="54" ht="15">
      <c r="E54" s="6" t="s">
        <v>15</v>
      </c>
    </row>
    <row r="55" ht="15">
      <c r="E55" s="6" t="s">
        <v>16</v>
      </c>
    </row>
    <row r="56" ht="15">
      <c r="E56" s="6"/>
    </row>
    <row r="58" spans="1:2" ht="18">
      <c r="A58" s="7" t="s">
        <v>17</v>
      </c>
      <c r="B58" s="7"/>
    </row>
    <row r="59" spans="1:2" ht="15">
      <c r="A59" s="20" t="s">
        <v>241</v>
      </c>
      <c r="B59" s="20"/>
    </row>
    <row r="60" spans="1:2" ht="14.25">
      <c r="A60" s="22"/>
      <c r="B60" s="23" t="s">
        <v>253</v>
      </c>
    </row>
    <row r="61" spans="1:5" ht="15">
      <c r="A61" s="24" t="s">
        <v>243</v>
      </c>
      <c r="B61" s="24" t="s">
        <v>244</v>
      </c>
      <c r="C61" s="24" t="s">
        <v>245</v>
      </c>
      <c r="D61" s="24" t="s">
        <v>246</v>
      </c>
      <c r="E61" s="24" t="s">
        <v>247</v>
      </c>
    </row>
    <row r="62" spans="1:5" ht="12.75">
      <c r="A62" s="21" t="s">
        <v>34</v>
      </c>
      <c r="B62" s="4" t="s">
        <v>253</v>
      </c>
      <c r="C62" s="4" t="s">
        <v>256</v>
      </c>
      <c r="D62" s="4" t="s">
        <v>42</v>
      </c>
      <c r="E62" s="25" t="s">
        <v>804</v>
      </c>
    </row>
    <row r="63" spans="1:5" ht="12.75">
      <c r="A63" s="21" t="s">
        <v>112</v>
      </c>
      <c r="B63" s="4" t="s">
        <v>253</v>
      </c>
      <c r="C63" s="4" t="s">
        <v>261</v>
      </c>
      <c r="D63" s="4" t="s">
        <v>89</v>
      </c>
      <c r="E63" s="25" t="s">
        <v>805</v>
      </c>
    </row>
    <row r="64" spans="1:5" ht="12.75">
      <c r="A64" s="21" t="s">
        <v>74</v>
      </c>
      <c r="B64" s="4" t="s">
        <v>253</v>
      </c>
      <c r="C64" s="4" t="s">
        <v>26</v>
      </c>
      <c r="D64" s="4" t="s">
        <v>81</v>
      </c>
      <c r="E64" s="25" t="s">
        <v>806</v>
      </c>
    </row>
    <row r="65" spans="1:5" ht="12.75">
      <c r="A65" s="21" t="s">
        <v>745</v>
      </c>
      <c r="B65" s="4" t="s">
        <v>253</v>
      </c>
      <c r="C65" s="4" t="s">
        <v>256</v>
      </c>
      <c r="D65" s="4" t="s">
        <v>41</v>
      </c>
      <c r="E65" s="25" t="s">
        <v>807</v>
      </c>
    </row>
    <row r="68" spans="1:2" ht="15">
      <c r="A68" s="20" t="s">
        <v>269</v>
      </c>
      <c r="B68" s="20"/>
    </row>
    <row r="69" spans="1:2" ht="14.25">
      <c r="A69" s="22"/>
      <c r="B69" s="23" t="s">
        <v>270</v>
      </c>
    </row>
    <row r="70" spans="1:5" ht="15">
      <c r="A70" s="24" t="s">
        <v>243</v>
      </c>
      <c r="B70" s="24" t="s">
        <v>244</v>
      </c>
      <c r="C70" s="24" t="s">
        <v>245</v>
      </c>
      <c r="D70" s="24" t="s">
        <v>246</v>
      </c>
      <c r="E70" s="24" t="s">
        <v>247</v>
      </c>
    </row>
    <row r="71" spans="1:5" ht="12.75">
      <c r="A71" s="21" t="s">
        <v>761</v>
      </c>
      <c r="B71" s="4" t="s">
        <v>250</v>
      </c>
      <c r="C71" s="4" t="s">
        <v>261</v>
      </c>
      <c r="D71" s="4" t="s">
        <v>128</v>
      </c>
      <c r="E71" s="25" t="s">
        <v>808</v>
      </c>
    </row>
    <row r="72" spans="1:5" ht="12.75">
      <c r="A72" s="21" t="s">
        <v>789</v>
      </c>
      <c r="B72" s="4" t="s">
        <v>250</v>
      </c>
      <c r="C72" s="4" t="s">
        <v>81</v>
      </c>
      <c r="D72" s="4" t="s">
        <v>207</v>
      </c>
      <c r="E72" s="25" t="s">
        <v>809</v>
      </c>
    </row>
    <row r="73" spans="1:5" ht="12.75">
      <c r="A73" s="21" t="s">
        <v>667</v>
      </c>
      <c r="B73" s="4" t="s">
        <v>248</v>
      </c>
      <c r="C73" s="4" t="s">
        <v>261</v>
      </c>
      <c r="D73" s="4" t="s">
        <v>91</v>
      </c>
      <c r="E73" s="25" t="s">
        <v>810</v>
      </c>
    </row>
    <row r="75" spans="1:2" ht="14.25">
      <c r="A75" s="22"/>
      <c r="B75" s="23" t="s">
        <v>278</v>
      </c>
    </row>
    <row r="76" spans="1:5" ht="15">
      <c r="A76" s="24" t="s">
        <v>243</v>
      </c>
      <c r="B76" s="24" t="s">
        <v>244</v>
      </c>
      <c r="C76" s="24" t="s">
        <v>245</v>
      </c>
      <c r="D76" s="24" t="s">
        <v>246</v>
      </c>
      <c r="E76" s="24" t="s">
        <v>247</v>
      </c>
    </row>
    <row r="77" spans="1:5" ht="12.75">
      <c r="A77" s="21" t="s">
        <v>800</v>
      </c>
      <c r="B77" s="4" t="s">
        <v>279</v>
      </c>
      <c r="C77" s="4" t="s">
        <v>105</v>
      </c>
      <c r="D77" s="4" t="s">
        <v>187</v>
      </c>
      <c r="E77" s="25" t="s">
        <v>811</v>
      </c>
    </row>
    <row r="78" spans="1:5" ht="12.75">
      <c r="A78" s="21" t="s">
        <v>773</v>
      </c>
      <c r="B78" s="4" t="s">
        <v>279</v>
      </c>
      <c r="C78" s="4" t="s">
        <v>79</v>
      </c>
      <c r="D78" s="4" t="s">
        <v>157</v>
      </c>
      <c r="E78" s="25" t="s">
        <v>812</v>
      </c>
    </row>
    <row r="80" spans="1:2" ht="14.25">
      <c r="A80" s="22"/>
      <c r="B80" s="23" t="s">
        <v>253</v>
      </c>
    </row>
    <row r="81" spans="1:5" ht="15">
      <c r="A81" s="24" t="s">
        <v>243</v>
      </c>
      <c r="B81" s="24" t="s">
        <v>244</v>
      </c>
      <c r="C81" s="24" t="s">
        <v>245</v>
      </c>
      <c r="D81" s="24" t="s">
        <v>246</v>
      </c>
      <c r="E81" s="24" t="s">
        <v>247</v>
      </c>
    </row>
    <row r="82" spans="1:5" ht="12.75">
      <c r="A82" s="21" t="s">
        <v>180</v>
      </c>
      <c r="B82" s="4" t="s">
        <v>253</v>
      </c>
      <c r="C82" s="4" t="s">
        <v>261</v>
      </c>
      <c r="D82" s="4" t="s">
        <v>187</v>
      </c>
      <c r="E82" s="25" t="s">
        <v>813</v>
      </c>
    </row>
    <row r="83" spans="1:5" ht="12.75">
      <c r="A83" s="21" t="s">
        <v>753</v>
      </c>
      <c r="B83" s="4" t="s">
        <v>253</v>
      </c>
      <c r="C83" s="4" t="s">
        <v>55</v>
      </c>
      <c r="D83" s="4" t="s">
        <v>185</v>
      </c>
      <c r="E83" s="25" t="s">
        <v>814</v>
      </c>
    </row>
    <row r="84" spans="1:5" ht="12.75">
      <c r="A84" s="21" t="s">
        <v>776</v>
      </c>
      <c r="B84" s="4" t="s">
        <v>253</v>
      </c>
      <c r="C84" s="4" t="s">
        <v>79</v>
      </c>
      <c r="D84" s="4" t="s">
        <v>319</v>
      </c>
      <c r="E84" s="25" t="s">
        <v>815</v>
      </c>
    </row>
    <row r="85" spans="1:5" ht="12.75">
      <c r="A85" s="21" t="s">
        <v>462</v>
      </c>
      <c r="B85" s="4" t="s">
        <v>253</v>
      </c>
      <c r="C85" s="4" t="s">
        <v>261</v>
      </c>
      <c r="D85" s="4" t="s">
        <v>234</v>
      </c>
      <c r="E85" s="25" t="s">
        <v>873</v>
      </c>
    </row>
    <row r="86" spans="1:5" ht="12.75">
      <c r="A86" s="21" t="s">
        <v>151</v>
      </c>
      <c r="B86" s="4" t="s">
        <v>253</v>
      </c>
      <c r="C86" s="4" t="s">
        <v>55</v>
      </c>
      <c r="D86" s="4" t="s">
        <v>158</v>
      </c>
      <c r="E86" s="25" t="s">
        <v>816</v>
      </c>
    </row>
    <row r="87" spans="1:5" ht="12.75">
      <c r="A87" s="21" t="s">
        <v>120</v>
      </c>
      <c r="B87" s="4" t="s">
        <v>253</v>
      </c>
      <c r="C87" s="4" t="s">
        <v>876</v>
      </c>
      <c r="D87" s="4" t="s">
        <v>871</v>
      </c>
      <c r="E87" s="25" t="s">
        <v>877</v>
      </c>
    </row>
    <row r="88" spans="1:5" ht="12.75">
      <c r="A88" s="21" t="s">
        <v>749</v>
      </c>
      <c r="B88" s="4" t="s">
        <v>253</v>
      </c>
      <c r="C88" s="4" t="s">
        <v>144</v>
      </c>
      <c r="D88" s="4" t="s">
        <v>169</v>
      </c>
      <c r="E88" s="25" t="s">
        <v>817</v>
      </c>
    </row>
    <row r="89" spans="1:5" ht="12.75">
      <c r="A89" s="21" t="s">
        <v>758</v>
      </c>
      <c r="B89" s="4" t="s">
        <v>253</v>
      </c>
      <c r="C89" s="4" t="s">
        <v>55</v>
      </c>
      <c r="D89" s="4" t="s">
        <v>169</v>
      </c>
      <c r="E89" s="25" t="s">
        <v>818</v>
      </c>
    </row>
    <row r="90" spans="1:5" ht="12.75">
      <c r="A90" s="21" t="s">
        <v>792</v>
      </c>
      <c r="B90" s="4" t="s">
        <v>253</v>
      </c>
      <c r="C90" s="4" t="s">
        <v>81</v>
      </c>
      <c r="D90" s="4" t="s">
        <v>194</v>
      </c>
      <c r="E90" s="25" t="s">
        <v>819</v>
      </c>
    </row>
    <row r="91" spans="1:5" ht="12.75">
      <c r="A91" s="21" t="s">
        <v>366</v>
      </c>
      <c r="B91" s="4" t="s">
        <v>253</v>
      </c>
      <c r="C91" s="4" t="s">
        <v>42</v>
      </c>
      <c r="D91" s="4" t="s">
        <v>185</v>
      </c>
      <c r="E91" s="25" t="s">
        <v>820</v>
      </c>
    </row>
    <row r="92" spans="1:5" ht="12.75">
      <c r="A92" s="21" t="s">
        <v>784</v>
      </c>
      <c r="B92" s="4" t="s">
        <v>253</v>
      </c>
      <c r="C92" s="4" t="s">
        <v>42</v>
      </c>
      <c r="D92" s="4" t="s">
        <v>157</v>
      </c>
      <c r="E92" s="25" t="s">
        <v>821</v>
      </c>
    </row>
    <row r="94" spans="1:2" ht="14.25">
      <c r="A94" s="22"/>
      <c r="B94" s="23" t="s">
        <v>303</v>
      </c>
    </row>
    <row r="95" spans="1:5" ht="15">
      <c r="A95" s="24" t="s">
        <v>243</v>
      </c>
      <c r="B95" s="24" t="s">
        <v>244</v>
      </c>
      <c r="C95" s="24" t="s">
        <v>245</v>
      </c>
      <c r="D95" s="24" t="s">
        <v>246</v>
      </c>
      <c r="E95" s="24" t="s">
        <v>247</v>
      </c>
    </row>
    <row r="96" spans="1:5" ht="12.75">
      <c r="A96" s="21" t="s">
        <v>768</v>
      </c>
      <c r="B96" s="4" t="s">
        <v>822</v>
      </c>
      <c r="C96" s="4" t="s">
        <v>261</v>
      </c>
      <c r="D96" s="4" t="s">
        <v>117</v>
      </c>
      <c r="E96" s="25" t="s">
        <v>823</v>
      </c>
    </row>
    <row r="97" spans="1:5" ht="12.75">
      <c r="A97" s="21" t="s">
        <v>780</v>
      </c>
      <c r="B97" s="4" t="s">
        <v>385</v>
      </c>
      <c r="C97" s="4" t="s">
        <v>79</v>
      </c>
      <c r="D97" s="4" t="s">
        <v>234</v>
      </c>
      <c r="E97" s="25" t="s">
        <v>824</v>
      </c>
    </row>
    <row r="98" spans="1:5" ht="12.75">
      <c r="A98" s="21" t="s">
        <v>796</v>
      </c>
      <c r="B98" s="4" t="s">
        <v>385</v>
      </c>
      <c r="C98" s="4" t="s">
        <v>81</v>
      </c>
      <c r="D98" s="4" t="s">
        <v>799</v>
      </c>
      <c r="E98" s="25" t="s">
        <v>825</v>
      </c>
    </row>
  </sheetData>
  <sheetProtection/>
  <mergeCells count="22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42:L42"/>
    <mergeCell ref="A47:L47"/>
    <mergeCell ref="A15:L15"/>
    <mergeCell ref="A18:L18"/>
    <mergeCell ref="A21:L21"/>
    <mergeCell ref="A26:L26"/>
    <mergeCell ref="A33:L33"/>
    <mergeCell ref="A38:L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37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12.625" style="4" bestFit="1" customWidth="1"/>
    <col min="14" max="16384" width="9.125" style="3" customWidth="1"/>
  </cols>
  <sheetData>
    <row r="1" spans="1:13" s="2" customFormat="1" ht="28.5" customHeight="1">
      <c r="A1" s="43" t="s">
        <v>880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2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111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8" t="s">
        <v>570</v>
      </c>
      <c r="B6" s="8" t="s">
        <v>571</v>
      </c>
      <c r="C6" s="8" t="s">
        <v>572</v>
      </c>
      <c r="D6" s="8" t="str">
        <f>"0,6209"</f>
        <v>0,6209</v>
      </c>
      <c r="E6" s="8" t="s">
        <v>38</v>
      </c>
      <c r="F6" s="8" t="s">
        <v>39</v>
      </c>
      <c r="G6" s="9" t="s">
        <v>126</v>
      </c>
      <c r="H6" s="10" t="s">
        <v>91</v>
      </c>
      <c r="I6" s="9" t="s">
        <v>91</v>
      </c>
      <c r="J6" s="10"/>
      <c r="K6" s="8" t="str">
        <f>"160,0"</f>
        <v>160,0</v>
      </c>
      <c r="L6" s="9" t="str">
        <f>"99,3440"</f>
        <v>99,3440</v>
      </c>
      <c r="M6" s="8" t="s">
        <v>83</v>
      </c>
    </row>
    <row r="8" spans="1:12" ht="15">
      <c r="A8" s="44" t="s">
        <v>196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2.75">
      <c r="A9" s="11" t="s">
        <v>705</v>
      </c>
      <c r="B9" s="11" t="s">
        <v>706</v>
      </c>
      <c r="C9" s="11" t="s">
        <v>707</v>
      </c>
      <c r="D9" s="11" t="str">
        <f>"0,6022"</f>
        <v>0,6022</v>
      </c>
      <c r="E9" s="11" t="s">
        <v>24</v>
      </c>
      <c r="F9" s="11" t="s">
        <v>317</v>
      </c>
      <c r="G9" s="12" t="s">
        <v>186</v>
      </c>
      <c r="H9" s="12" t="s">
        <v>187</v>
      </c>
      <c r="I9" s="12" t="s">
        <v>340</v>
      </c>
      <c r="J9" s="13"/>
      <c r="K9" s="11" t="str">
        <f>"255,0"</f>
        <v>255,0</v>
      </c>
      <c r="L9" s="12" t="str">
        <f>"153,5610"</f>
        <v>153,5610</v>
      </c>
      <c r="M9" s="11" t="s">
        <v>83</v>
      </c>
    </row>
    <row r="10" spans="1:13" ht="12.75">
      <c r="A10" s="17" t="s">
        <v>709</v>
      </c>
      <c r="B10" s="17" t="s">
        <v>710</v>
      </c>
      <c r="C10" s="17" t="s">
        <v>490</v>
      </c>
      <c r="D10" s="17" t="str">
        <f>"0,5865"</f>
        <v>0,5865</v>
      </c>
      <c r="E10" s="17" t="s">
        <v>38</v>
      </c>
      <c r="F10" s="17" t="s">
        <v>39</v>
      </c>
      <c r="G10" s="18" t="s">
        <v>194</v>
      </c>
      <c r="H10" s="18" t="s">
        <v>334</v>
      </c>
      <c r="I10" s="18" t="s">
        <v>186</v>
      </c>
      <c r="J10" s="19" t="s">
        <v>319</v>
      </c>
      <c r="K10" s="17" t="str">
        <f>"240,0"</f>
        <v>240,0</v>
      </c>
      <c r="L10" s="18" t="str">
        <f>"140,7600"</f>
        <v>140,7600</v>
      </c>
      <c r="M10" s="17" t="s">
        <v>83</v>
      </c>
    </row>
    <row r="11" spans="1:13" ht="12.75">
      <c r="A11" s="14" t="s">
        <v>711</v>
      </c>
      <c r="B11" s="14" t="s">
        <v>576</v>
      </c>
      <c r="C11" s="14" t="s">
        <v>481</v>
      </c>
      <c r="D11" s="14" t="str">
        <f>"0,5956"</f>
        <v>0,5956</v>
      </c>
      <c r="E11" s="14" t="s">
        <v>470</v>
      </c>
      <c r="F11" s="14" t="s">
        <v>221</v>
      </c>
      <c r="G11" s="16" t="s">
        <v>158</v>
      </c>
      <c r="H11" s="16" t="s">
        <v>234</v>
      </c>
      <c r="I11" s="15" t="s">
        <v>334</v>
      </c>
      <c r="J11" s="15"/>
      <c r="K11" s="14" t="str">
        <f>"225,0"</f>
        <v>225,0</v>
      </c>
      <c r="L11" s="16" t="str">
        <f>"134,0100"</f>
        <v>134,0100</v>
      </c>
      <c r="M11" s="14" t="s">
        <v>577</v>
      </c>
    </row>
    <row r="13" spans="1:12" ht="15">
      <c r="A13" s="44" t="s">
        <v>228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3" ht="12.75">
      <c r="A14" s="11" t="s">
        <v>712</v>
      </c>
      <c r="B14" s="11" t="s">
        <v>595</v>
      </c>
      <c r="C14" s="11" t="s">
        <v>348</v>
      </c>
      <c r="D14" s="11" t="str">
        <f>"0,5371"</f>
        <v>0,5371</v>
      </c>
      <c r="E14" s="11" t="s">
        <v>470</v>
      </c>
      <c r="F14" s="11" t="s">
        <v>221</v>
      </c>
      <c r="G14" s="12" t="s">
        <v>713</v>
      </c>
      <c r="H14" s="12" t="s">
        <v>714</v>
      </c>
      <c r="I14" s="12" t="s">
        <v>715</v>
      </c>
      <c r="J14" s="13"/>
      <c r="K14" s="11" t="str">
        <f>"340,0"</f>
        <v>340,0</v>
      </c>
      <c r="L14" s="12" t="str">
        <f>"182,6140"</f>
        <v>182,6140</v>
      </c>
      <c r="M14" s="11" t="s">
        <v>597</v>
      </c>
    </row>
    <row r="15" spans="1:13" ht="12.75">
      <c r="A15" s="14" t="s">
        <v>590</v>
      </c>
      <c r="B15" s="14" t="s">
        <v>716</v>
      </c>
      <c r="C15" s="14" t="s">
        <v>592</v>
      </c>
      <c r="D15" s="14" t="str">
        <f>"0,5427"</f>
        <v>0,5427</v>
      </c>
      <c r="E15" s="14" t="s">
        <v>24</v>
      </c>
      <c r="F15" s="14" t="s">
        <v>78</v>
      </c>
      <c r="G15" s="15" t="s">
        <v>717</v>
      </c>
      <c r="H15" s="15" t="s">
        <v>718</v>
      </c>
      <c r="I15" s="16" t="s">
        <v>718</v>
      </c>
      <c r="J15" s="15"/>
      <c r="K15" s="14" t="str">
        <f>"380,0"</f>
        <v>380,0</v>
      </c>
      <c r="L15" s="16" t="str">
        <f>"220,4556"</f>
        <v>220,4556</v>
      </c>
      <c r="M15" s="14" t="s">
        <v>83</v>
      </c>
    </row>
    <row r="17" spans="1:12" ht="15">
      <c r="A17" s="44" t="s">
        <v>609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3" ht="12.75">
      <c r="A18" s="11" t="s">
        <v>720</v>
      </c>
      <c r="B18" s="11" t="s">
        <v>721</v>
      </c>
      <c r="C18" s="11" t="s">
        <v>722</v>
      </c>
      <c r="D18" s="11" t="str">
        <f>"0,5314"</f>
        <v>0,5314</v>
      </c>
      <c r="E18" s="11" t="s">
        <v>38</v>
      </c>
      <c r="F18" s="11" t="s">
        <v>39</v>
      </c>
      <c r="G18" s="12" t="s">
        <v>714</v>
      </c>
      <c r="H18" s="12" t="s">
        <v>723</v>
      </c>
      <c r="I18" s="12" t="s">
        <v>724</v>
      </c>
      <c r="J18" s="13"/>
      <c r="K18" s="11" t="str">
        <f>"350,0"</f>
        <v>350,0</v>
      </c>
      <c r="L18" s="12" t="str">
        <f>"185,9900"</f>
        <v>185,9900</v>
      </c>
      <c r="M18" s="11" t="s">
        <v>83</v>
      </c>
    </row>
    <row r="19" spans="1:13" ht="12.75">
      <c r="A19" s="17" t="s">
        <v>726</v>
      </c>
      <c r="B19" s="17" t="s">
        <v>727</v>
      </c>
      <c r="C19" s="17" t="s">
        <v>728</v>
      </c>
      <c r="D19" s="17" t="str">
        <f>"0,5345"</f>
        <v>0,5345</v>
      </c>
      <c r="E19" s="17" t="s">
        <v>38</v>
      </c>
      <c r="F19" s="17" t="s">
        <v>39</v>
      </c>
      <c r="G19" s="18" t="s">
        <v>729</v>
      </c>
      <c r="H19" s="18" t="s">
        <v>730</v>
      </c>
      <c r="I19" s="18" t="s">
        <v>713</v>
      </c>
      <c r="J19" s="19"/>
      <c r="K19" s="17" t="str">
        <f>"300,0"</f>
        <v>300,0</v>
      </c>
      <c r="L19" s="18" t="str">
        <f>"161,7932"</f>
        <v>161,7932</v>
      </c>
      <c r="M19" s="17" t="s">
        <v>83</v>
      </c>
    </row>
    <row r="20" spans="1:13" ht="12.75">
      <c r="A20" s="14" t="s">
        <v>731</v>
      </c>
      <c r="B20" s="14" t="s">
        <v>617</v>
      </c>
      <c r="C20" s="14" t="s">
        <v>618</v>
      </c>
      <c r="D20" s="14" t="str">
        <f>"0,5299"</f>
        <v>0,5299</v>
      </c>
      <c r="E20" s="14" t="s">
        <v>470</v>
      </c>
      <c r="F20" s="14" t="s">
        <v>221</v>
      </c>
      <c r="G20" s="16" t="s">
        <v>195</v>
      </c>
      <c r="H20" s="16" t="s">
        <v>319</v>
      </c>
      <c r="I20" s="15" t="s">
        <v>340</v>
      </c>
      <c r="J20" s="15"/>
      <c r="K20" s="14" t="str">
        <f>"245,0"</f>
        <v>245,0</v>
      </c>
      <c r="L20" s="16" t="str">
        <f>"133,8501"</f>
        <v>133,8501</v>
      </c>
      <c r="M20" s="14" t="s">
        <v>577</v>
      </c>
    </row>
    <row r="22" spans="1:12" ht="15">
      <c r="A22" s="44" t="s">
        <v>619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3" ht="12.75">
      <c r="A23" s="8" t="s">
        <v>621</v>
      </c>
      <c r="B23" s="8" t="s">
        <v>622</v>
      </c>
      <c r="C23" s="8" t="s">
        <v>623</v>
      </c>
      <c r="D23" s="8" t="str">
        <f>"0,5057"</f>
        <v>0,5057</v>
      </c>
      <c r="E23" s="8" t="s">
        <v>24</v>
      </c>
      <c r="F23" s="8" t="s">
        <v>39</v>
      </c>
      <c r="G23" s="9" t="s">
        <v>187</v>
      </c>
      <c r="H23" s="9" t="s">
        <v>732</v>
      </c>
      <c r="I23" s="10" t="s">
        <v>733</v>
      </c>
      <c r="J23" s="10"/>
      <c r="K23" s="8" t="str">
        <f>"265,0"</f>
        <v>265,0</v>
      </c>
      <c r="L23" s="9" t="str">
        <f>"134,0105"</f>
        <v>134,0105</v>
      </c>
      <c r="M23" s="8" t="s">
        <v>83</v>
      </c>
    </row>
    <row r="25" ht="15">
      <c r="E25" s="6" t="s">
        <v>12</v>
      </c>
    </row>
    <row r="26" ht="15">
      <c r="E26" s="6" t="s">
        <v>13</v>
      </c>
    </row>
    <row r="27" ht="15">
      <c r="E27" s="6" t="s">
        <v>14</v>
      </c>
    </row>
    <row r="28" ht="15">
      <c r="E28" s="6" t="s">
        <v>15</v>
      </c>
    </row>
    <row r="29" ht="15">
      <c r="E29" s="6" t="s">
        <v>15</v>
      </c>
    </row>
    <row r="30" ht="15">
      <c r="E30" s="6" t="s">
        <v>16</v>
      </c>
    </row>
    <row r="31" ht="15">
      <c r="E31" s="6"/>
    </row>
    <row r="33" spans="1:2" ht="18">
      <c r="A33" s="7" t="s">
        <v>17</v>
      </c>
      <c r="B33" s="7"/>
    </row>
    <row r="34" spans="1:2" ht="15">
      <c r="A34" s="20" t="s">
        <v>269</v>
      </c>
      <c r="B34" s="20"/>
    </row>
    <row r="35" spans="1:2" ht="14.25">
      <c r="A35" s="22"/>
      <c r="B35" s="23" t="s">
        <v>253</v>
      </c>
    </row>
    <row r="36" spans="1:5" ht="15">
      <c r="A36" s="24" t="s">
        <v>243</v>
      </c>
      <c r="B36" s="24" t="s">
        <v>244</v>
      </c>
      <c r="C36" s="24" t="s">
        <v>245</v>
      </c>
      <c r="D36" s="24" t="s">
        <v>246</v>
      </c>
      <c r="E36" s="24" t="s">
        <v>247</v>
      </c>
    </row>
    <row r="37" spans="1:5" ht="12.75">
      <c r="A37" s="21" t="s">
        <v>719</v>
      </c>
      <c r="B37" s="4" t="s">
        <v>253</v>
      </c>
      <c r="C37" s="4" t="s">
        <v>105</v>
      </c>
      <c r="D37" s="4" t="s">
        <v>724</v>
      </c>
      <c r="E37" s="25" t="s">
        <v>734</v>
      </c>
    </row>
    <row r="38" spans="1:5" ht="12.75">
      <c r="A38" s="21" t="s">
        <v>593</v>
      </c>
      <c r="B38" s="4" t="s">
        <v>253</v>
      </c>
      <c r="C38" s="4" t="s">
        <v>81</v>
      </c>
      <c r="D38" s="4" t="s">
        <v>715</v>
      </c>
      <c r="E38" s="25" t="s">
        <v>735</v>
      </c>
    </row>
    <row r="39" spans="1:5" ht="12.75">
      <c r="A39" s="21" t="s">
        <v>704</v>
      </c>
      <c r="B39" s="4" t="s">
        <v>253</v>
      </c>
      <c r="C39" s="4" t="s">
        <v>79</v>
      </c>
      <c r="D39" s="4" t="s">
        <v>340</v>
      </c>
      <c r="E39" s="25" t="s">
        <v>736</v>
      </c>
    </row>
    <row r="40" spans="1:5" ht="12.75">
      <c r="A40" s="21" t="s">
        <v>708</v>
      </c>
      <c r="B40" s="4" t="s">
        <v>253</v>
      </c>
      <c r="C40" s="4" t="s">
        <v>79</v>
      </c>
      <c r="D40" s="4" t="s">
        <v>186</v>
      </c>
      <c r="E40" s="25" t="s">
        <v>737</v>
      </c>
    </row>
    <row r="41" spans="1:5" ht="12.75">
      <c r="A41" s="21" t="s">
        <v>620</v>
      </c>
      <c r="B41" s="4" t="s">
        <v>253</v>
      </c>
      <c r="C41" s="4" t="s">
        <v>118</v>
      </c>
      <c r="D41" s="4" t="s">
        <v>732</v>
      </c>
      <c r="E41" s="25" t="s">
        <v>738</v>
      </c>
    </row>
    <row r="42" spans="1:5" ht="12.75">
      <c r="A42" s="21" t="s">
        <v>574</v>
      </c>
      <c r="B42" s="4" t="s">
        <v>253</v>
      </c>
      <c r="C42" s="4" t="s">
        <v>79</v>
      </c>
      <c r="D42" s="4" t="s">
        <v>234</v>
      </c>
      <c r="E42" s="25" t="s">
        <v>739</v>
      </c>
    </row>
    <row r="43" spans="1:5" ht="12.75">
      <c r="A43" s="21" t="s">
        <v>569</v>
      </c>
      <c r="B43" s="4" t="s">
        <v>253</v>
      </c>
      <c r="C43" s="4" t="s">
        <v>261</v>
      </c>
      <c r="D43" s="4" t="s">
        <v>91</v>
      </c>
      <c r="E43" s="25" t="s">
        <v>740</v>
      </c>
    </row>
    <row r="45" spans="1:2" ht="14.25">
      <c r="A45" s="22"/>
      <c r="B45" s="23" t="s">
        <v>303</v>
      </c>
    </row>
    <row r="46" spans="1:5" ht="15">
      <c r="A46" s="24" t="s">
        <v>243</v>
      </c>
      <c r="B46" s="24" t="s">
        <v>244</v>
      </c>
      <c r="C46" s="24" t="s">
        <v>245</v>
      </c>
      <c r="D46" s="24" t="s">
        <v>246</v>
      </c>
      <c r="E46" s="24" t="s">
        <v>247</v>
      </c>
    </row>
    <row r="47" spans="1:5" ht="12.75">
      <c r="A47" s="21" t="s">
        <v>589</v>
      </c>
      <c r="B47" s="4" t="s">
        <v>741</v>
      </c>
      <c r="C47" s="4" t="s">
        <v>81</v>
      </c>
      <c r="D47" s="4" t="s">
        <v>718</v>
      </c>
      <c r="E47" s="25" t="s">
        <v>742</v>
      </c>
    </row>
    <row r="48" spans="1:5" ht="12.75">
      <c r="A48" s="21" t="s">
        <v>725</v>
      </c>
      <c r="B48" s="4" t="s">
        <v>385</v>
      </c>
      <c r="C48" s="4" t="s">
        <v>105</v>
      </c>
      <c r="D48" s="4" t="s">
        <v>713</v>
      </c>
      <c r="E48" s="25" t="s">
        <v>743</v>
      </c>
    </row>
    <row r="49" spans="1:5" ht="12.75">
      <c r="A49" s="21" t="s">
        <v>615</v>
      </c>
      <c r="B49" s="4" t="s">
        <v>385</v>
      </c>
      <c r="C49" s="4" t="s">
        <v>105</v>
      </c>
      <c r="D49" s="4" t="s">
        <v>319</v>
      </c>
      <c r="E49" s="25" t="s">
        <v>744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A22:L22"/>
    <mergeCell ref="K3:K4"/>
    <mergeCell ref="L3:L4"/>
    <mergeCell ref="M3:M4"/>
    <mergeCell ref="A5:L5"/>
    <mergeCell ref="A8:L8"/>
    <mergeCell ref="A13:L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43" t="s">
        <v>879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2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8" t="s">
        <v>642</v>
      </c>
      <c r="B6" s="8" t="s">
        <v>643</v>
      </c>
      <c r="C6" s="8" t="s">
        <v>644</v>
      </c>
      <c r="D6" s="8" t="str">
        <f>"0,7995"</f>
        <v>0,7995</v>
      </c>
      <c r="E6" s="8" t="s">
        <v>470</v>
      </c>
      <c r="F6" s="8" t="s">
        <v>52</v>
      </c>
      <c r="G6" s="9" t="s">
        <v>429</v>
      </c>
      <c r="H6" s="9" t="s">
        <v>102</v>
      </c>
      <c r="I6" s="10" t="s">
        <v>46</v>
      </c>
      <c r="J6" s="10"/>
      <c r="K6" s="8" t="str">
        <f>"117,5"</f>
        <v>117,5</v>
      </c>
      <c r="L6" s="9" t="str">
        <f>"99,5777"</f>
        <v>99,5777</v>
      </c>
      <c r="M6" s="8" t="s">
        <v>645</v>
      </c>
    </row>
    <row r="8" spans="1:12" ht="15">
      <c r="A8" s="44" t="s">
        <v>84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2.75">
      <c r="A9" s="11" t="s">
        <v>646</v>
      </c>
      <c r="B9" s="11" t="s">
        <v>427</v>
      </c>
      <c r="C9" s="11" t="s">
        <v>428</v>
      </c>
      <c r="D9" s="11" t="str">
        <f>"0,7268"</f>
        <v>0,7268</v>
      </c>
      <c r="E9" s="11" t="s">
        <v>24</v>
      </c>
      <c r="F9" s="11" t="s">
        <v>317</v>
      </c>
      <c r="G9" s="12" t="s">
        <v>125</v>
      </c>
      <c r="H9" s="12" t="s">
        <v>89</v>
      </c>
      <c r="I9" s="12" t="s">
        <v>90</v>
      </c>
      <c r="J9" s="13"/>
      <c r="K9" s="11" t="str">
        <f>"155,0"</f>
        <v>155,0</v>
      </c>
      <c r="L9" s="12" t="str">
        <f>"112,6540"</f>
        <v>112,6540</v>
      </c>
      <c r="M9" s="11" t="s">
        <v>83</v>
      </c>
    </row>
    <row r="10" spans="1:13" ht="12.75">
      <c r="A10" s="17" t="s">
        <v>647</v>
      </c>
      <c r="B10" s="17" t="s">
        <v>422</v>
      </c>
      <c r="C10" s="17" t="s">
        <v>423</v>
      </c>
      <c r="D10" s="17" t="str">
        <f>"0,7273"</f>
        <v>0,7273</v>
      </c>
      <c r="E10" s="17" t="s">
        <v>24</v>
      </c>
      <c r="F10" s="17" t="s">
        <v>116</v>
      </c>
      <c r="G10" s="18" t="s">
        <v>117</v>
      </c>
      <c r="H10" s="18" t="s">
        <v>118</v>
      </c>
      <c r="I10" s="19" t="s">
        <v>313</v>
      </c>
      <c r="J10" s="19"/>
      <c r="K10" s="17" t="str">
        <f>"140,0"</f>
        <v>140,0</v>
      </c>
      <c r="L10" s="18" t="str">
        <f>"101,8220"</f>
        <v>101,8220</v>
      </c>
      <c r="M10" s="17" t="s">
        <v>424</v>
      </c>
    </row>
    <row r="11" spans="1:13" ht="12.75">
      <c r="A11" s="14" t="s">
        <v>649</v>
      </c>
      <c r="B11" s="14" t="s">
        <v>650</v>
      </c>
      <c r="C11" s="14" t="s">
        <v>651</v>
      </c>
      <c r="D11" s="14" t="str">
        <f>"0,7327"</f>
        <v>0,7327</v>
      </c>
      <c r="E11" s="14" t="s">
        <v>24</v>
      </c>
      <c r="F11" s="14" t="s">
        <v>317</v>
      </c>
      <c r="G11" s="16" t="s">
        <v>46</v>
      </c>
      <c r="H11" s="16" t="s">
        <v>105</v>
      </c>
      <c r="I11" s="15" t="s">
        <v>441</v>
      </c>
      <c r="J11" s="15"/>
      <c r="K11" s="14" t="str">
        <f>"125,0"</f>
        <v>125,0</v>
      </c>
      <c r="L11" s="16" t="str">
        <f>"91,5875"</f>
        <v>91,5875</v>
      </c>
      <c r="M11" s="14" t="s">
        <v>652</v>
      </c>
    </row>
    <row r="13" spans="1:12" ht="15">
      <c r="A13" s="44" t="s">
        <v>150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3" ht="12.75">
      <c r="A14" s="11" t="s">
        <v>654</v>
      </c>
      <c r="B14" s="11" t="s">
        <v>655</v>
      </c>
      <c r="C14" s="11" t="s">
        <v>656</v>
      </c>
      <c r="D14" s="11" t="str">
        <f>"0,6820"</f>
        <v>0,6820</v>
      </c>
      <c r="E14" s="11" t="s">
        <v>24</v>
      </c>
      <c r="F14" s="11" t="s">
        <v>149</v>
      </c>
      <c r="G14" s="12" t="s">
        <v>157</v>
      </c>
      <c r="H14" s="12" t="s">
        <v>207</v>
      </c>
      <c r="I14" s="12" t="s">
        <v>194</v>
      </c>
      <c r="J14" s="13"/>
      <c r="K14" s="11" t="str">
        <f>"220,0"</f>
        <v>220,0</v>
      </c>
      <c r="L14" s="12" t="str">
        <f>"150,0400"</f>
        <v>150,0400</v>
      </c>
      <c r="M14" s="11" t="s">
        <v>83</v>
      </c>
    </row>
    <row r="15" spans="1:13" ht="12.75">
      <c r="A15" s="17" t="s">
        <v>658</v>
      </c>
      <c r="B15" s="17" t="s">
        <v>659</v>
      </c>
      <c r="C15" s="17" t="s">
        <v>660</v>
      </c>
      <c r="D15" s="17" t="str">
        <f>"0,6673"</f>
        <v>0,6673</v>
      </c>
      <c r="E15" s="17" t="s">
        <v>24</v>
      </c>
      <c r="F15" s="17" t="s">
        <v>149</v>
      </c>
      <c r="G15" s="19" t="s">
        <v>94</v>
      </c>
      <c r="H15" s="18" t="s">
        <v>128</v>
      </c>
      <c r="I15" s="18" t="s">
        <v>156</v>
      </c>
      <c r="J15" s="19"/>
      <c r="K15" s="17" t="str">
        <f>"190,0"</f>
        <v>190,0</v>
      </c>
      <c r="L15" s="18" t="str">
        <f>"126,7870"</f>
        <v>126,7870</v>
      </c>
      <c r="M15" s="17" t="s">
        <v>83</v>
      </c>
    </row>
    <row r="16" spans="1:13" ht="12.75">
      <c r="A16" s="17" t="s">
        <v>661</v>
      </c>
      <c r="B16" s="17" t="s">
        <v>439</v>
      </c>
      <c r="C16" s="17" t="s">
        <v>440</v>
      </c>
      <c r="D16" s="17" t="str">
        <f>"0,6752"</f>
        <v>0,6752</v>
      </c>
      <c r="E16" s="17" t="s">
        <v>24</v>
      </c>
      <c r="F16" s="17" t="s">
        <v>116</v>
      </c>
      <c r="G16" s="18" t="s">
        <v>126</v>
      </c>
      <c r="H16" s="18" t="s">
        <v>127</v>
      </c>
      <c r="I16" s="18" t="s">
        <v>227</v>
      </c>
      <c r="J16" s="19"/>
      <c r="K16" s="17" t="str">
        <f>"175,0"</f>
        <v>175,0</v>
      </c>
      <c r="L16" s="18" t="str">
        <f>"118,1600"</f>
        <v>118,1600</v>
      </c>
      <c r="M16" s="17" t="s">
        <v>83</v>
      </c>
    </row>
    <row r="17" spans="1:13" ht="12.75">
      <c r="A17" s="14" t="s">
        <v>663</v>
      </c>
      <c r="B17" s="14" t="s">
        <v>664</v>
      </c>
      <c r="C17" s="14" t="s">
        <v>665</v>
      </c>
      <c r="D17" s="14" t="str">
        <f>"0,6843"</f>
        <v>0,6843</v>
      </c>
      <c r="E17" s="14" t="s">
        <v>24</v>
      </c>
      <c r="F17" s="14" t="s">
        <v>666</v>
      </c>
      <c r="G17" s="16" t="s">
        <v>328</v>
      </c>
      <c r="H17" s="16" t="s">
        <v>233</v>
      </c>
      <c r="I17" s="16" t="s">
        <v>192</v>
      </c>
      <c r="J17" s="15"/>
      <c r="K17" s="14" t="str">
        <f>"172,5"</f>
        <v>172,5</v>
      </c>
      <c r="L17" s="16" t="str">
        <f>"118,0418"</f>
        <v>118,0418</v>
      </c>
      <c r="M17" s="14" t="s">
        <v>83</v>
      </c>
    </row>
    <row r="19" spans="1:12" ht="15">
      <c r="A19" s="44" t="s">
        <v>111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3" ht="12.75">
      <c r="A20" s="11" t="s">
        <v>668</v>
      </c>
      <c r="B20" s="11" t="s">
        <v>669</v>
      </c>
      <c r="C20" s="11" t="s">
        <v>670</v>
      </c>
      <c r="D20" s="11" t="str">
        <f>"0,6214"</f>
        <v>0,6214</v>
      </c>
      <c r="E20" s="11" t="s">
        <v>24</v>
      </c>
      <c r="F20" s="11" t="s">
        <v>671</v>
      </c>
      <c r="G20" s="12" t="s">
        <v>118</v>
      </c>
      <c r="H20" s="12" t="s">
        <v>89</v>
      </c>
      <c r="I20" s="13" t="s">
        <v>461</v>
      </c>
      <c r="J20" s="13"/>
      <c r="K20" s="11" t="str">
        <f>"145,0"</f>
        <v>145,0</v>
      </c>
      <c r="L20" s="12" t="str">
        <f>"97,3112"</f>
        <v>97,3112</v>
      </c>
      <c r="M20" s="11" t="s">
        <v>83</v>
      </c>
    </row>
    <row r="21" spans="1:13" ht="12.75">
      <c r="A21" s="14" t="s">
        <v>673</v>
      </c>
      <c r="B21" s="14" t="s">
        <v>674</v>
      </c>
      <c r="C21" s="14" t="s">
        <v>675</v>
      </c>
      <c r="D21" s="14" t="str">
        <f>"0,6193"</f>
        <v>0,6193</v>
      </c>
      <c r="E21" s="14" t="s">
        <v>24</v>
      </c>
      <c r="F21" s="14" t="s">
        <v>317</v>
      </c>
      <c r="G21" s="16" t="s">
        <v>128</v>
      </c>
      <c r="H21" s="16" t="s">
        <v>168</v>
      </c>
      <c r="I21" s="15" t="s">
        <v>158</v>
      </c>
      <c r="J21" s="15"/>
      <c r="K21" s="14" t="str">
        <f>"195,0"</f>
        <v>195,0</v>
      </c>
      <c r="L21" s="16" t="str">
        <f>"120,7635"</f>
        <v>120,7635</v>
      </c>
      <c r="M21" s="14" t="s">
        <v>564</v>
      </c>
    </row>
    <row r="23" spans="1:12" ht="15">
      <c r="A23" s="44" t="s">
        <v>196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3" ht="12.75">
      <c r="A24" s="11" t="s">
        <v>676</v>
      </c>
      <c r="B24" s="11" t="s">
        <v>677</v>
      </c>
      <c r="C24" s="11" t="s">
        <v>678</v>
      </c>
      <c r="D24" s="11" t="str">
        <f>"0,5877"</f>
        <v>0,5877</v>
      </c>
      <c r="E24" s="11" t="s">
        <v>24</v>
      </c>
      <c r="F24" s="11" t="s">
        <v>317</v>
      </c>
      <c r="G24" s="12" t="s">
        <v>333</v>
      </c>
      <c r="H24" s="13" t="s">
        <v>193</v>
      </c>
      <c r="I24" s="12" t="s">
        <v>185</v>
      </c>
      <c r="J24" s="13"/>
      <c r="K24" s="11" t="str">
        <f>"215,0"</f>
        <v>215,0</v>
      </c>
      <c r="L24" s="12" t="str">
        <f>"126,3555"</f>
        <v>126,3555</v>
      </c>
      <c r="M24" s="11" t="s">
        <v>83</v>
      </c>
    </row>
    <row r="25" spans="1:13" ht="12.75">
      <c r="A25" s="17" t="s">
        <v>680</v>
      </c>
      <c r="B25" s="17" t="s">
        <v>681</v>
      </c>
      <c r="C25" s="17" t="s">
        <v>490</v>
      </c>
      <c r="D25" s="17" t="str">
        <f>"0,5865"</f>
        <v>0,5865</v>
      </c>
      <c r="E25" s="17" t="s">
        <v>24</v>
      </c>
      <c r="F25" s="17" t="s">
        <v>317</v>
      </c>
      <c r="G25" s="18" t="s">
        <v>157</v>
      </c>
      <c r="H25" s="19" t="s">
        <v>158</v>
      </c>
      <c r="I25" s="18" t="s">
        <v>158</v>
      </c>
      <c r="J25" s="19"/>
      <c r="K25" s="17" t="str">
        <f>"205,0"</f>
        <v>205,0</v>
      </c>
      <c r="L25" s="18" t="str">
        <f>"120,2325"</f>
        <v>120,2325</v>
      </c>
      <c r="M25" s="17" t="s">
        <v>83</v>
      </c>
    </row>
    <row r="26" spans="1:13" ht="12.75">
      <c r="A26" s="14" t="s">
        <v>676</v>
      </c>
      <c r="B26" s="14" t="s">
        <v>496</v>
      </c>
      <c r="C26" s="14" t="s">
        <v>678</v>
      </c>
      <c r="D26" s="14" t="str">
        <f>"0,5877"</f>
        <v>0,5877</v>
      </c>
      <c r="E26" s="14" t="s">
        <v>24</v>
      </c>
      <c r="F26" s="14" t="s">
        <v>317</v>
      </c>
      <c r="G26" s="16" t="s">
        <v>333</v>
      </c>
      <c r="H26" s="15" t="s">
        <v>193</v>
      </c>
      <c r="I26" s="16" t="s">
        <v>185</v>
      </c>
      <c r="J26" s="15"/>
      <c r="K26" s="14" t="str">
        <f>"215,0"</f>
        <v>215,0</v>
      </c>
      <c r="L26" s="16" t="str">
        <f>"126,7346"</f>
        <v>126,7346</v>
      </c>
      <c r="M26" s="14" t="s">
        <v>83</v>
      </c>
    </row>
    <row r="28" spans="1:12" ht="15">
      <c r="A28" s="44" t="s">
        <v>208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3" ht="12.75">
      <c r="A29" s="8" t="s">
        <v>683</v>
      </c>
      <c r="B29" s="8" t="s">
        <v>684</v>
      </c>
      <c r="C29" s="8" t="s">
        <v>220</v>
      </c>
      <c r="D29" s="8" t="str">
        <f>"0,5540"</f>
        <v>0,5540</v>
      </c>
      <c r="E29" s="8" t="s">
        <v>24</v>
      </c>
      <c r="F29" s="8" t="s">
        <v>317</v>
      </c>
      <c r="G29" s="9" t="s">
        <v>128</v>
      </c>
      <c r="H29" s="10" t="s">
        <v>333</v>
      </c>
      <c r="I29" s="10" t="s">
        <v>333</v>
      </c>
      <c r="J29" s="10"/>
      <c r="K29" s="8" t="str">
        <f>"180,0"</f>
        <v>180,0</v>
      </c>
      <c r="L29" s="9" t="str">
        <f>"99,7200"</f>
        <v>99,7200</v>
      </c>
      <c r="M29" s="8" t="s">
        <v>564</v>
      </c>
    </row>
    <row r="31" spans="1:12" ht="15">
      <c r="A31" s="44" t="s">
        <v>609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2.75">
      <c r="A32" s="8" t="s">
        <v>686</v>
      </c>
      <c r="B32" s="8" t="s">
        <v>687</v>
      </c>
      <c r="C32" s="8" t="s">
        <v>688</v>
      </c>
      <c r="D32" s="8" t="str">
        <f>"0,5281"</f>
        <v>0,5281</v>
      </c>
      <c r="E32" s="8" t="s">
        <v>24</v>
      </c>
      <c r="F32" s="8" t="s">
        <v>317</v>
      </c>
      <c r="G32" s="9" t="s">
        <v>128</v>
      </c>
      <c r="H32" s="9" t="s">
        <v>168</v>
      </c>
      <c r="I32" s="10" t="s">
        <v>234</v>
      </c>
      <c r="J32" s="10"/>
      <c r="K32" s="8" t="str">
        <f>"195,0"</f>
        <v>195,0</v>
      </c>
      <c r="L32" s="9" t="str">
        <f>"102,9795"</f>
        <v>102,9795</v>
      </c>
      <c r="M32" s="8" t="s">
        <v>83</v>
      </c>
    </row>
    <row r="34" ht="15">
      <c r="E34" s="6" t="s">
        <v>12</v>
      </c>
    </row>
    <row r="35" ht="15">
      <c r="E35" s="6" t="s">
        <v>13</v>
      </c>
    </row>
    <row r="36" ht="15">
      <c r="E36" s="6" t="s">
        <v>14</v>
      </c>
    </row>
    <row r="37" ht="15">
      <c r="E37" s="6" t="s">
        <v>15</v>
      </c>
    </row>
    <row r="38" ht="15">
      <c r="E38" s="6" t="s">
        <v>15</v>
      </c>
    </row>
    <row r="39" ht="15">
      <c r="E39" s="6" t="s">
        <v>16</v>
      </c>
    </row>
    <row r="40" ht="15">
      <c r="E40" s="6"/>
    </row>
    <row r="42" spans="1:2" ht="18">
      <c r="A42" s="7" t="s">
        <v>17</v>
      </c>
      <c r="B42" s="7"/>
    </row>
    <row r="43" spans="1:2" ht="15">
      <c r="A43" s="20" t="s">
        <v>241</v>
      </c>
      <c r="B43" s="20"/>
    </row>
    <row r="44" spans="1:2" ht="14.25">
      <c r="A44" s="22"/>
      <c r="B44" s="23" t="s">
        <v>242</v>
      </c>
    </row>
    <row r="45" spans="1:5" ht="15">
      <c r="A45" s="24" t="s">
        <v>243</v>
      </c>
      <c r="B45" s="24" t="s">
        <v>244</v>
      </c>
      <c r="C45" s="24" t="s">
        <v>245</v>
      </c>
      <c r="D45" s="24" t="s">
        <v>246</v>
      </c>
      <c r="E45" s="24" t="s">
        <v>247</v>
      </c>
    </row>
    <row r="46" spans="1:5" ht="12.75">
      <c r="A46" s="21" t="s">
        <v>641</v>
      </c>
      <c r="B46" s="4" t="s">
        <v>250</v>
      </c>
      <c r="C46" s="4" t="s">
        <v>144</v>
      </c>
      <c r="D46" s="4" t="s">
        <v>102</v>
      </c>
      <c r="E46" s="25" t="s">
        <v>689</v>
      </c>
    </row>
    <row r="49" spans="1:2" ht="15">
      <c r="A49" s="20" t="s">
        <v>269</v>
      </c>
      <c r="B49" s="20"/>
    </row>
    <row r="50" spans="1:2" ht="14.25">
      <c r="A50" s="22"/>
      <c r="B50" s="23" t="s">
        <v>270</v>
      </c>
    </row>
    <row r="51" spans="1:5" ht="15">
      <c r="A51" s="24" t="s">
        <v>243</v>
      </c>
      <c r="B51" s="24" t="s">
        <v>244</v>
      </c>
      <c r="C51" s="24" t="s">
        <v>245</v>
      </c>
      <c r="D51" s="24" t="s">
        <v>246</v>
      </c>
      <c r="E51" s="24" t="s">
        <v>247</v>
      </c>
    </row>
    <row r="52" spans="1:5" ht="12.75">
      <c r="A52" s="21" t="s">
        <v>667</v>
      </c>
      <c r="B52" s="4" t="s">
        <v>248</v>
      </c>
      <c r="C52" s="4" t="s">
        <v>261</v>
      </c>
      <c r="D52" s="4" t="s">
        <v>89</v>
      </c>
      <c r="E52" s="25" t="s">
        <v>690</v>
      </c>
    </row>
    <row r="54" spans="1:2" ht="14.25">
      <c r="A54" s="22"/>
      <c r="B54" s="23" t="s">
        <v>253</v>
      </c>
    </row>
    <row r="55" spans="1:5" ht="15">
      <c r="A55" s="24" t="s">
        <v>243</v>
      </c>
      <c r="B55" s="24" t="s">
        <v>244</v>
      </c>
      <c r="C55" s="24" t="s">
        <v>245</v>
      </c>
      <c r="D55" s="24" t="s">
        <v>246</v>
      </c>
      <c r="E55" s="24" t="s">
        <v>247</v>
      </c>
    </row>
    <row r="56" spans="1:5" ht="12.75">
      <c r="A56" s="21" t="s">
        <v>653</v>
      </c>
      <c r="B56" s="4" t="s">
        <v>253</v>
      </c>
      <c r="C56" s="4" t="s">
        <v>55</v>
      </c>
      <c r="D56" s="4" t="s">
        <v>194</v>
      </c>
      <c r="E56" s="25" t="s">
        <v>691</v>
      </c>
    </row>
    <row r="57" spans="1:5" ht="12.75">
      <c r="A57" s="21" t="s">
        <v>657</v>
      </c>
      <c r="B57" s="4" t="s">
        <v>253</v>
      </c>
      <c r="C57" s="4" t="s">
        <v>55</v>
      </c>
      <c r="D57" s="4" t="s">
        <v>156</v>
      </c>
      <c r="E57" s="25" t="s">
        <v>692</v>
      </c>
    </row>
    <row r="58" spans="1:5" ht="12.75">
      <c r="A58" s="21" t="s">
        <v>494</v>
      </c>
      <c r="B58" s="4" t="s">
        <v>253</v>
      </c>
      <c r="C58" s="4" t="s">
        <v>79</v>
      </c>
      <c r="D58" s="4" t="s">
        <v>185</v>
      </c>
      <c r="E58" s="25" t="s">
        <v>693</v>
      </c>
    </row>
    <row r="59" spans="1:5" ht="12.75">
      <c r="A59" s="21" t="s">
        <v>672</v>
      </c>
      <c r="B59" s="4" t="s">
        <v>253</v>
      </c>
      <c r="C59" s="4" t="s">
        <v>261</v>
      </c>
      <c r="D59" s="4" t="s">
        <v>168</v>
      </c>
      <c r="E59" s="25" t="s">
        <v>694</v>
      </c>
    </row>
    <row r="60" spans="1:5" ht="12.75">
      <c r="A60" s="21" t="s">
        <v>679</v>
      </c>
      <c r="B60" s="4" t="s">
        <v>253</v>
      </c>
      <c r="C60" s="4" t="s">
        <v>79</v>
      </c>
      <c r="D60" s="4" t="s">
        <v>158</v>
      </c>
      <c r="E60" s="25" t="s">
        <v>695</v>
      </c>
    </row>
    <row r="61" spans="1:5" ht="12.75">
      <c r="A61" s="21" t="s">
        <v>437</v>
      </c>
      <c r="B61" s="4" t="s">
        <v>253</v>
      </c>
      <c r="C61" s="4" t="s">
        <v>55</v>
      </c>
      <c r="D61" s="4" t="s">
        <v>227</v>
      </c>
      <c r="E61" s="25" t="s">
        <v>696</v>
      </c>
    </row>
    <row r="62" spans="1:5" ht="12.75">
      <c r="A62" s="21" t="s">
        <v>662</v>
      </c>
      <c r="B62" s="4" t="s">
        <v>253</v>
      </c>
      <c r="C62" s="4" t="s">
        <v>55</v>
      </c>
      <c r="D62" s="4" t="s">
        <v>192</v>
      </c>
      <c r="E62" s="25" t="s">
        <v>697</v>
      </c>
    </row>
    <row r="63" spans="1:5" ht="12.75">
      <c r="A63" s="21" t="s">
        <v>425</v>
      </c>
      <c r="B63" s="4" t="s">
        <v>253</v>
      </c>
      <c r="C63" s="4" t="s">
        <v>144</v>
      </c>
      <c r="D63" s="4" t="s">
        <v>90</v>
      </c>
      <c r="E63" s="25" t="s">
        <v>698</v>
      </c>
    </row>
    <row r="64" spans="1:5" ht="12.75">
      <c r="A64" s="21" t="s">
        <v>685</v>
      </c>
      <c r="B64" s="4" t="s">
        <v>253</v>
      </c>
      <c r="C64" s="4" t="s">
        <v>105</v>
      </c>
      <c r="D64" s="4" t="s">
        <v>168</v>
      </c>
      <c r="E64" s="25" t="s">
        <v>699</v>
      </c>
    </row>
    <row r="65" spans="1:5" ht="12.75">
      <c r="A65" s="21" t="s">
        <v>420</v>
      </c>
      <c r="B65" s="4" t="s">
        <v>253</v>
      </c>
      <c r="C65" s="4" t="s">
        <v>144</v>
      </c>
      <c r="D65" s="4" t="s">
        <v>118</v>
      </c>
      <c r="E65" s="25" t="s">
        <v>700</v>
      </c>
    </row>
    <row r="66" spans="1:5" ht="12.75">
      <c r="A66" s="21" t="s">
        <v>682</v>
      </c>
      <c r="B66" s="4" t="s">
        <v>253</v>
      </c>
      <c r="C66" s="4" t="s">
        <v>42</v>
      </c>
      <c r="D66" s="4" t="s">
        <v>128</v>
      </c>
      <c r="E66" s="25" t="s">
        <v>701</v>
      </c>
    </row>
    <row r="67" spans="1:5" ht="12.75">
      <c r="A67" s="21" t="s">
        <v>648</v>
      </c>
      <c r="B67" s="4" t="s">
        <v>253</v>
      </c>
      <c r="C67" s="4" t="s">
        <v>144</v>
      </c>
      <c r="D67" s="4" t="s">
        <v>105</v>
      </c>
      <c r="E67" s="25" t="s">
        <v>702</v>
      </c>
    </row>
    <row r="69" spans="1:2" ht="14.25">
      <c r="A69" s="22"/>
      <c r="B69" s="23" t="s">
        <v>303</v>
      </c>
    </row>
    <row r="70" spans="1:5" ht="15">
      <c r="A70" s="24" t="s">
        <v>243</v>
      </c>
      <c r="B70" s="24" t="s">
        <v>244</v>
      </c>
      <c r="C70" s="24" t="s">
        <v>245</v>
      </c>
      <c r="D70" s="24" t="s">
        <v>246</v>
      </c>
      <c r="E70" s="24" t="s">
        <v>247</v>
      </c>
    </row>
    <row r="71" spans="1:5" ht="12.75">
      <c r="A71" s="21" t="s">
        <v>494</v>
      </c>
      <c r="B71" s="4" t="s">
        <v>385</v>
      </c>
      <c r="C71" s="4" t="s">
        <v>79</v>
      </c>
      <c r="D71" s="4" t="s">
        <v>185</v>
      </c>
      <c r="E71" s="25" t="s">
        <v>703</v>
      </c>
    </row>
  </sheetData>
  <sheetProtection/>
  <mergeCells count="18"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A19:L19"/>
    <mergeCell ref="A23:L23"/>
    <mergeCell ref="A28:L28"/>
    <mergeCell ref="A31:L31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43" t="s">
        <v>878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2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8" t="s">
        <v>553</v>
      </c>
      <c r="B6" s="8" t="s">
        <v>554</v>
      </c>
      <c r="C6" s="8" t="s">
        <v>555</v>
      </c>
      <c r="D6" s="8" t="str">
        <f>"0,9201"</f>
        <v>0,9201</v>
      </c>
      <c r="E6" s="8" t="s">
        <v>24</v>
      </c>
      <c r="F6" s="8" t="s">
        <v>317</v>
      </c>
      <c r="G6" s="9" t="s">
        <v>43</v>
      </c>
      <c r="H6" s="9" t="s">
        <v>398</v>
      </c>
      <c r="I6" s="9" t="s">
        <v>44</v>
      </c>
      <c r="J6" s="10"/>
      <c r="K6" s="8" t="str">
        <f>"45,0"</f>
        <v>45,0</v>
      </c>
      <c r="L6" s="9" t="str">
        <f>"41,4045"</f>
        <v>41,4045</v>
      </c>
      <c r="M6" s="8" t="s">
        <v>392</v>
      </c>
    </row>
    <row r="8" spans="1:12" ht="15">
      <c r="A8" s="44" t="s">
        <v>84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2.75">
      <c r="A9" s="11" t="s">
        <v>557</v>
      </c>
      <c r="B9" s="11" t="s">
        <v>558</v>
      </c>
      <c r="C9" s="11" t="s">
        <v>559</v>
      </c>
      <c r="D9" s="11" t="str">
        <f>"0,8046"</f>
        <v>0,8046</v>
      </c>
      <c r="E9" s="11" t="s">
        <v>24</v>
      </c>
      <c r="F9" s="11" t="s">
        <v>39</v>
      </c>
      <c r="G9" s="12" t="s">
        <v>45</v>
      </c>
      <c r="H9" s="12" t="s">
        <v>103</v>
      </c>
      <c r="I9" s="12" t="s">
        <v>143</v>
      </c>
      <c r="J9" s="13"/>
      <c r="K9" s="11" t="str">
        <f>"57,5"</f>
        <v>57,5</v>
      </c>
      <c r="L9" s="12" t="str">
        <f>"56,9053"</f>
        <v>56,9053</v>
      </c>
      <c r="M9" s="11" t="s">
        <v>560</v>
      </c>
    </row>
    <row r="10" spans="1:13" ht="12.75">
      <c r="A10" s="14" t="s">
        <v>562</v>
      </c>
      <c r="B10" s="14" t="s">
        <v>563</v>
      </c>
      <c r="C10" s="14" t="s">
        <v>419</v>
      </c>
      <c r="D10" s="14" t="str">
        <f>"0,7717"</f>
        <v>0,7717</v>
      </c>
      <c r="E10" s="14" t="s">
        <v>24</v>
      </c>
      <c r="F10" s="14" t="s">
        <v>317</v>
      </c>
      <c r="G10" s="16" t="s">
        <v>26</v>
      </c>
      <c r="H10" s="16" t="s">
        <v>28</v>
      </c>
      <c r="I10" s="15" t="s">
        <v>55</v>
      </c>
      <c r="J10" s="15"/>
      <c r="K10" s="14" t="str">
        <f>"70,0"</f>
        <v>70,0</v>
      </c>
      <c r="L10" s="16" t="str">
        <f>"55,0994"</f>
        <v>55,0994</v>
      </c>
      <c r="M10" s="14" t="s">
        <v>564</v>
      </c>
    </row>
    <row r="12" spans="1:12" ht="15">
      <c r="A12" s="44" t="s">
        <v>150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3" ht="12.75">
      <c r="A13" s="8" t="s">
        <v>566</v>
      </c>
      <c r="B13" s="8" t="s">
        <v>567</v>
      </c>
      <c r="C13" s="8" t="s">
        <v>568</v>
      </c>
      <c r="D13" s="8" t="str">
        <f>"0,7249"</f>
        <v>0,7249</v>
      </c>
      <c r="E13" s="8" t="s">
        <v>24</v>
      </c>
      <c r="F13" s="8" t="s">
        <v>39</v>
      </c>
      <c r="G13" s="9" t="s">
        <v>45</v>
      </c>
      <c r="H13" s="9" t="s">
        <v>103</v>
      </c>
      <c r="I13" s="10" t="s">
        <v>143</v>
      </c>
      <c r="J13" s="10"/>
      <c r="K13" s="8" t="str">
        <f>"55,0"</f>
        <v>55,0</v>
      </c>
      <c r="L13" s="9" t="str">
        <f>"49,0395"</f>
        <v>49,0395</v>
      </c>
      <c r="M13" s="8" t="s">
        <v>560</v>
      </c>
    </row>
    <row r="15" spans="1:12" ht="15">
      <c r="A15" s="44" t="s">
        <v>111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 ht="12.75">
      <c r="A16" s="8" t="s">
        <v>570</v>
      </c>
      <c r="B16" s="8" t="s">
        <v>571</v>
      </c>
      <c r="C16" s="8" t="s">
        <v>572</v>
      </c>
      <c r="D16" s="8" t="str">
        <f>"0,6209"</f>
        <v>0,6209</v>
      </c>
      <c r="E16" s="8" t="s">
        <v>38</v>
      </c>
      <c r="F16" s="8" t="s">
        <v>39</v>
      </c>
      <c r="G16" s="9" t="s">
        <v>72</v>
      </c>
      <c r="H16" s="9" t="s">
        <v>573</v>
      </c>
      <c r="I16" s="10" t="s">
        <v>441</v>
      </c>
      <c r="J16" s="10"/>
      <c r="K16" s="8" t="str">
        <f>"122,5"</f>
        <v>122,5</v>
      </c>
      <c r="L16" s="9" t="str">
        <f>"76,0602"</f>
        <v>76,0602</v>
      </c>
      <c r="M16" s="8" t="s">
        <v>83</v>
      </c>
    </row>
    <row r="18" spans="1:12" ht="15">
      <c r="A18" s="44" t="s">
        <v>196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3" ht="12.75">
      <c r="A19" s="8" t="s">
        <v>575</v>
      </c>
      <c r="B19" s="8" t="s">
        <v>576</v>
      </c>
      <c r="C19" s="8" t="s">
        <v>481</v>
      </c>
      <c r="D19" s="8" t="str">
        <f>"0,5956"</f>
        <v>0,5956</v>
      </c>
      <c r="E19" s="8" t="s">
        <v>470</v>
      </c>
      <c r="F19" s="8" t="s">
        <v>221</v>
      </c>
      <c r="G19" s="10" t="s">
        <v>201</v>
      </c>
      <c r="H19" s="10"/>
      <c r="I19" s="10"/>
      <c r="J19" s="10"/>
      <c r="K19" s="8" t="str">
        <f>"0.00"</f>
        <v>0.00</v>
      </c>
      <c r="L19" s="9" t="str">
        <f>"0,0000"</f>
        <v>0,0000</v>
      </c>
      <c r="M19" s="8" t="s">
        <v>577</v>
      </c>
    </row>
    <row r="21" spans="1:12" ht="15">
      <c r="A21" s="44" t="s">
        <v>208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3" ht="12.75">
      <c r="A22" s="11" t="s">
        <v>579</v>
      </c>
      <c r="B22" s="11" t="s">
        <v>580</v>
      </c>
      <c r="C22" s="11" t="s">
        <v>225</v>
      </c>
      <c r="D22" s="11" t="str">
        <f>"0,5578"</f>
        <v>0,5578</v>
      </c>
      <c r="E22" s="11" t="s">
        <v>24</v>
      </c>
      <c r="F22" s="11" t="s">
        <v>581</v>
      </c>
      <c r="G22" s="13" t="s">
        <v>91</v>
      </c>
      <c r="H22" s="12" t="s">
        <v>91</v>
      </c>
      <c r="I22" s="13" t="s">
        <v>94</v>
      </c>
      <c r="J22" s="13"/>
      <c r="K22" s="11" t="str">
        <f>"160,0"</f>
        <v>160,0</v>
      </c>
      <c r="L22" s="12" t="str">
        <f>"89,2480"</f>
        <v>89,2480</v>
      </c>
      <c r="M22" s="11" t="s">
        <v>83</v>
      </c>
    </row>
    <row r="23" spans="1:13" ht="12.75">
      <c r="A23" s="17" t="s">
        <v>583</v>
      </c>
      <c r="B23" s="17" t="s">
        <v>584</v>
      </c>
      <c r="C23" s="17" t="s">
        <v>585</v>
      </c>
      <c r="D23" s="17" t="str">
        <f>"0,5633"</f>
        <v>0,5633</v>
      </c>
      <c r="E23" s="17" t="s">
        <v>24</v>
      </c>
      <c r="F23" s="17" t="s">
        <v>311</v>
      </c>
      <c r="G23" s="18" t="s">
        <v>126</v>
      </c>
      <c r="H23" s="19" t="s">
        <v>91</v>
      </c>
      <c r="I23" s="19" t="s">
        <v>91</v>
      </c>
      <c r="J23" s="19"/>
      <c r="K23" s="17" t="str">
        <f>"150,0"</f>
        <v>150,0</v>
      </c>
      <c r="L23" s="18" t="str">
        <f>"84,4950"</f>
        <v>84,4950</v>
      </c>
      <c r="M23" s="17" t="s">
        <v>83</v>
      </c>
    </row>
    <row r="24" spans="1:13" ht="12.75">
      <c r="A24" s="14" t="s">
        <v>587</v>
      </c>
      <c r="B24" s="14" t="s">
        <v>588</v>
      </c>
      <c r="C24" s="14" t="s">
        <v>344</v>
      </c>
      <c r="D24" s="14" t="str">
        <f>"0,5608"</f>
        <v>0,5608</v>
      </c>
      <c r="E24" s="14" t="s">
        <v>24</v>
      </c>
      <c r="F24" s="14" t="s">
        <v>52</v>
      </c>
      <c r="G24" s="15" t="s">
        <v>128</v>
      </c>
      <c r="H24" s="16" t="s">
        <v>128</v>
      </c>
      <c r="I24" s="15" t="s">
        <v>156</v>
      </c>
      <c r="J24" s="15"/>
      <c r="K24" s="14" t="str">
        <f>"180,0"</f>
        <v>180,0</v>
      </c>
      <c r="L24" s="16" t="str">
        <f>"118,4073"</f>
        <v>118,4073</v>
      </c>
      <c r="M24" s="14" t="s">
        <v>83</v>
      </c>
    </row>
    <row r="26" spans="1:12" ht="15">
      <c r="A26" s="44" t="s">
        <v>228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3" ht="12.75">
      <c r="A27" s="11" t="s">
        <v>590</v>
      </c>
      <c r="B27" s="11" t="s">
        <v>591</v>
      </c>
      <c r="C27" s="11" t="s">
        <v>592</v>
      </c>
      <c r="D27" s="11" t="str">
        <f>"0,5427"</f>
        <v>0,5427</v>
      </c>
      <c r="E27" s="11" t="s">
        <v>24</v>
      </c>
      <c r="F27" s="11" t="s">
        <v>78</v>
      </c>
      <c r="G27" s="12" t="s">
        <v>333</v>
      </c>
      <c r="H27" s="12" t="s">
        <v>207</v>
      </c>
      <c r="I27" s="12" t="s">
        <v>185</v>
      </c>
      <c r="J27" s="13"/>
      <c r="K27" s="11" t="str">
        <f>"215,0"</f>
        <v>215,0</v>
      </c>
      <c r="L27" s="12" t="str">
        <f>"116,6805"</f>
        <v>116,6805</v>
      </c>
      <c r="M27" s="11" t="s">
        <v>83</v>
      </c>
    </row>
    <row r="28" spans="1:13" ht="12.75">
      <c r="A28" s="17" t="s">
        <v>594</v>
      </c>
      <c r="B28" s="17" t="s">
        <v>595</v>
      </c>
      <c r="C28" s="17" t="s">
        <v>348</v>
      </c>
      <c r="D28" s="17" t="str">
        <f>"0,5371"</f>
        <v>0,5371</v>
      </c>
      <c r="E28" s="17" t="s">
        <v>470</v>
      </c>
      <c r="F28" s="17" t="s">
        <v>221</v>
      </c>
      <c r="G28" s="18" t="s">
        <v>157</v>
      </c>
      <c r="H28" s="19" t="s">
        <v>596</v>
      </c>
      <c r="I28" s="18" t="s">
        <v>596</v>
      </c>
      <c r="J28" s="19"/>
      <c r="K28" s="17" t="str">
        <f>"207,5"</f>
        <v>207,5</v>
      </c>
      <c r="L28" s="18" t="str">
        <f>"111,4483"</f>
        <v>111,4483</v>
      </c>
      <c r="M28" s="17" t="s">
        <v>597</v>
      </c>
    </row>
    <row r="29" spans="1:13" ht="12.75">
      <c r="A29" s="17" t="s">
        <v>599</v>
      </c>
      <c r="B29" s="17" t="s">
        <v>600</v>
      </c>
      <c r="C29" s="17" t="s">
        <v>601</v>
      </c>
      <c r="D29" s="17" t="str">
        <f>"0,5365"</f>
        <v>0,5365</v>
      </c>
      <c r="E29" s="17" t="s">
        <v>24</v>
      </c>
      <c r="F29" s="17" t="s">
        <v>311</v>
      </c>
      <c r="G29" s="18" t="s">
        <v>156</v>
      </c>
      <c r="H29" s="18" t="s">
        <v>157</v>
      </c>
      <c r="I29" s="18" t="s">
        <v>333</v>
      </c>
      <c r="J29" s="19"/>
      <c r="K29" s="17" t="str">
        <f>"202,5"</f>
        <v>202,5</v>
      </c>
      <c r="L29" s="18" t="str">
        <f>"108,6412"</f>
        <v>108,6412</v>
      </c>
      <c r="M29" s="17" t="s">
        <v>83</v>
      </c>
    </row>
    <row r="30" spans="1:13" ht="12.75">
      <c r="A30" s="17" t="s">
        <v>603</v>
      </c>
      <c r="B30" s="17" t="s">
        <v>604</v>
      </c>
      <c r="C30" s="17" t="s">
        <v>605</v>
      </c>
      <c r="D30" s="17" t="str">
        <f>"0,5429"</f>
        <v>0,5429</v>
      </c>
      <c r="E30" s="17" t="s">
        <v>69</v>
      </c>
      <c r="F30" s="17" t="s">
        <v>70</v>
      </c>
      <c r="G30" s="18" t="s">
        <v>227</v>
      </c>
      <c r="H30" s="18" t="s">
        <v>169</v>
      </c>
      <c r="I30" s="19" t="s">
        <v>157</v>
      </c>
      <c r="J30" s="19"/>
      <c r="K30" s="17" t="str">
        <f>"185,0"</f>
        <v>185,0</v>
      </c>
      <c r="L30" s="18" t="str">
        <f>"100,4365"</f>
        <v>100,4365</v>
      </c>
      <c r="M30" s="17" t="s">
        <v>73</v>
      </c>
    </row>
    <row r="31" spans="1:13" ht="12.75">
      <c r="A31" s="14" t="s">
        <v>607</v>
      </c>
      <c r="B31" s="14" t="s">
        <v>608</v>
      </c>
      <c r="C31" s="14" t="s">
        <v>601</v>
      </c>
      <c r="D31" s="14" t="str">
        <f>"0,5365"</f>
        <v>0,5365</v>
      </c>
      <c r="E31" s="14" t="s">
        <v>24</v>
      </c>
      <c r="F31" s="14" t="s">
        <v>39</v>
      </c>
      <c r="G31" s="16" t="s">
        <v>79</v>
      </c>
      <c r="H31" s="15" t="s">
        <v>42</v>
      </c>
      <c r="I31" s="15" t="s">
        <v>42</v>
      </c>
      <c r="J31" s="15"/>
      <c r="K31" s="14" t="str">
        <f>"90,0"</f>
        <v>90,0</v>
      </c>
      <c r="L31" s="16" t="str">
        <f>"48,2850"</f>
        <v>48,2850</v>
      </c>
      <c r="M31" s="14" t="s">
        <v>560</v>
      </c>
    </row>
    <row r="33" spans="1:12" ht="15">
      <c r="A33" s="44" t="s">
        <v>609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3" ht="12.75">
      <c r="A34" s="11" t="s">
        <v>611</v>
      </c>
      <c r="B34" s="11" t="s">
        <v>612</v>
      </c>
      <c r="C34" s="11" t="s">
        <v>613</v>
      </c>
      <c r="D34" s="11" t="str">
        <f>"0,5210"</f>
        <v>0,5210</v>
      </c>
      <c r="E34" s="11" t="s">
        <v>24</v>
      </c>
      <c r="F34" s="11" t="s">
        <v>149</v>
      </c>
      <c r="G34" s="12" t="s">
        <v>157</v>
      </c>
      <c r="H34" s="12" t="s">
        <v>207</v>
      </c>
      <c r="I34" s="12" t="s">
        <v>614</v>
      </c>
      <c r="J34" s="13"/>
      <c r="K34" s="11" t="str">
        <f>"217,5"</f>
        <v>217,5</v>
      </c>
      <c r="L34" s="12" t="str">
        <f>"113,3175"</f>
        <v>113,3175</v>
      </c>
      <c r="M34" s="11" t="s">
        <v>83</v>
      </c>
    </row>
    <row r="35" spans="1:13" ht="12.75">
      <c r="A35" s="14" t="s">
        <v>616</v>
      </c>
      <c r="B35" s="14" t="s">
        <v>617</v>
      </c>
      <c r="C35" s="14" t="s">
        <v>618</v>
      </c>
      <c r="D35" s="14" t="str">
        <f>"0,5299"</f>
        <v>0,5299</v>
      </c>
      <c r="E35" s="14" t="s">
        <v>470</v>
      </c>
      <c r="F35" s="14" t="s">
        <v>221</v>
      </c>
      <c r="G35" s="15" t="s">
        <v>118</v>
      </c>
      <c r="H35" s="16" t="s">
        <v>118</v>
      </c>
      <c r="I35" s="16" t="s">
        <v>126</v>
      </c>
      <c r="J35" s="15"/>
      <c r="K35" s="14" t="str">
        <f>"150,0"</f>
        <v>150,0</v>
      </c>
      <c r="L35" s="16" t="str">
        <f>"81,9490"</f>
        <v>81,9490</v>
      </c>
      <c r="M35" s="14" t="s">
        <v>577</v>
      </c>
    </row>
    <row r="37" spans="1:12" ht="15">
      <c r="A37" s="44" t="s">
        <v>619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12.75">
      <c r="A38" s="8" t="s">
        <v>621</v>
      </c>
      <c r="B38" s="8" t="s">
        <v>622</v>
      </c>
      <c r="C38" s="8" t="s">
        <v>623</v>
      </c>
      <c r="D38" s="8" t="str">
        <f>"0,5057"</f>
        <v>0,5057</v>
      </c>
      <c r="E38" s="8" t="s">
        <v>24</v>
      </c>
      <c r="F38" s="8" t="s">
        <v>39</v>
      </c>
      <c r="G38" s="9" t="s">
        <v>91</v>
      </c>
      <c r="H38" s="9" t="s">
        <v>624</v>
      </c>
      <c r="I38" s="10" t="s">
        <v>169</v>
      </c>
      <c r="J38" s="10"/>
      <c r="K38" s="8" t="str">
        <f>"172,2"</f>
        <v>172,2</v>
      </c>
      <c r="L38" s="9" t="str">
        <f>"87,0815"</f>
        <v>87,0815</v>
      </c>
      <c r="M38" s="8" t="s">
        <v>83</v>
      </c>
    </row>
    <row r="40" ht="15">
      <c r="E40" s="6" t="s">
        <v>12</v>
      </c>
    </row>
    <row r="41" ht="15">
      <c r="E41" s="6" t="s">
        <v>13</v>
      </c>
    </row>
    <row r="42" ht="15">
      <c r="E42" s="6" t="s">
        <v>14</v>
      </c>
    </row>
    <row r="43" ht="15">
      <c r="E43" s="6" t="s">
        <v>15</v>
      </c>
    </row>
    <row r="44" ht="15">
      <c r="E44" s="6" t="s">
        <v>15</v>
      </c>
    </row>
    <row r="45" ht="15">
      <c r="E45" s="6" t="s">
        <v>16</v>
      </c>
    </row>
    <row r="46" ht="15">
      <c r="E46" s="6"/>
    </row>
    <row r="48" spans="1:2" ht="18">
      <c r="A48" s="7" t="s">
        <v>17</v>
      </c>
      <c r="B48" s="7"/>
    </row>
    <row r="49" spans="1:2" ht="15">
      <c r="A49" s="20" t="s">
        <v>241</v>
      </c>
      <c r="B49" s="20"/>
    </row>
    <row r="50" spans="1:2" ht="14.25">
      <c r="A50" s="22"/>
      <c r="B50" s="23" t="s">
        <v>253</v>
      </c>
    </row>
    <row r="51" spans="1:5" ht="15">
      <c r="A51" s="24" t="s">
        <v>243</v>
      </c>
      <c r="B51" s="24" t="s">
        <v>244</v>
      </c>
      <c r="C51" s="24" t="s">
        <v>245</v>
      </c>
      <c r="D51" s="24" t="s">
        <v>246</v>
      </c>
      <c r="E51" s="24" t="s">
        <v>247</v>
      </c>
    </row>
    <row r="52" spans="1:5" ht="12.75">
      <c r="A52" s="21" t="s">
        <v>552</v>
      </c>
      <c r="B52" s="4" t="s">
        <v>253</v>
      </c>
      <c r="C52" s="4" t="s">
        <v>266</v>
      </c>
      <c r="D52" s="4" t="s">
        <v>44</v>
      </c>
      <c r="E52" s="25" t="s">
        <v>625</v>
      </c>
    </row>
    <row r="55" spans="1:2" ht="15">
      <c r="A55" s="20" t="s">
        <v>269</v>
      </c>
      <c r="B55" s="20"/>
    </row>
    <row r="56" spans="1:2" ht="14.25">
      <c r="A56" s="22"/>
      <c r="B56" s="23" t="s">
        <v>270</v>
      </c>
    </row>
    <row r="57" spans="1:5" ht="15">
      <c r="A57" s="24" t="s">
        <v>243</v>
      </c>
      <c r="B57" s="24" t="s">
        <v>244</v>
      </c>
      <c r="C57" s="24" t="s">
        <v>245</v>
      </c>
      <c r="D57" s="24" t="s">
        <v>246</v>
      </c>
      <c r="E57" s="24" t="s">
        <v>247</v>
      </c>
    </row>
    <row r="58" spans="1:5" ht="12.75">
      <c r="A58" s="21" t="s">
        <v>556</v>
      </c>
      <c r="B58" s="4" t="s">
        <v>271</v>
      </c>
      <c r="C58" s="4" t="s">
        <v>144</v>
      </c>
      <c r="D58" s="4" t="s">
        <v>143</v>
      </c>
      <c r="E58" s="25" t="s">
        <v>626</v>
      </c>
    </row>
    <row r="59" spans="1:5" ht="12.75">
      <c r="A59" s="21" t="s">
        <v>565</v>
      </c>
      <c r="B59" s="4" t="s">
        <v>271</v>
      </c>
      <c r="C59" s="4" t="s">
        <v>55</v>
      </c>
      <c r="D59" s="4" t="s">
        <v>103</v>
      </c>
      <c r="E59" s="25" t="s">
        <v>627</v>
      </c>
    </row>
    <row r="61" spans="1:2" ht="14.25">
      <c r="A61" s="22"/>
      <c r="B61" s="23" t="s">
        <v>278</v>
      </c>
    </row>
    <row r="62" spans="1:5" ht="15">
      <c r="A62" s="24" t="s">
        <v>243</v>
      </c>
      <c r="B62" s="24" t="s">
        <v>244</v>
      </c>
      <c r="C62" s="24" t="s">
        <v>245</v>
      </c>
      <c r="D62" s="24" t="s">
        <v>246</v>
      </c>
      <c r="E62" s="24" t="s">
        <v>247</v>
      </c>
    </row>
    <row r="63" spans="1:5" ht="12.75">
      <c r="A63" s="21" t="s">
        <v>561</v>
      </c>
      <c r="B63" s="4" t="s">
        <v>279</v>
      </c>
      <c r="C63" s="4" t="s">
        <v>144</v>
      </c>
      <c r="D63" s="4" t="s">
        <v>28</v>
      </c>
      <c r="E63" s="25" t="s">
        <v>628</v>
      </c>
    </row>
    <row r="65" spans="1:2" ht="14.25">
      <c r="A65" s="22"/>
      <c r="B65" s="23" t="s">
        <v>253</v>
      </c>
    </row>
    <row r="66" spans="1:5" ht="15">
      <c r="A66" s="24" t="s">
        <v>243</v>
      </c>
      <c r="B66" s="24" t="s">
        <v>244</v>
      </c>
      <c r="C66" s="24" t="s">
        <v>245</v>
      </c>
      <c r="D66" s="24" t="s">
        <v>246</v>
      </c>
      <c r="E66" s="24" t="s">
        <v>247</v>
      </c>
    </row>
    <row r="67" spans="1:5" ht="12.75">
      <c r="A67" s="21" t="s">
        <v>589</v>
      </c>
      <c r="B67" s="4" t="s">
        <v>253</v>
      </c>
      <c r="C67" s="4" t="s">
        <v>81</v>
      </c>
      <c r="D67" s="4" t="s">
        <v>185</v>
      </c>
      <c r="E67" s="25" t="s">
        <v>629</v>
      </c>
    </row>
    <row r="68" spans="1:5" ht="12.75">
      <c r="A68" s="21" t="s">
        <v>610</v>
      </c>
      <c r="B68" s="4" t="s">
        <v>253</v>
      </c>
      <c r="C68" s="4" t="s">
        <v>105</v>
      </c>
      <c r="D68" s="4" t="s">
        <v>614</v>
      </c>
      <c r="E68" s="25" t="s">
        <v>630</v>
      </c>
    </row>
    <row r="69" spans="1:5" ht="12.75">
      <c r="A69" s="21" t="s">
        <v>593</v>
      </c>
      <c r="B69" s="4" t="s">
        <v>253</v>
      </c>
      <c r="C69" s="4" t="s">
        <v>81</v>
      </c>
      <c r="D69" s="4" t="s">
        <v>596</v>
      </c>
      <c r="E69" s="25" t="s">
        <v>631</v>
      </c>
    </row>
    <row r="70" spans="1:5" ht="12.75">
      <c r="A70" s="21" t="s">
        <v>598</v>
      </c>
      <c r="B70" s="4" t="s">
        <v>253</v>
      </c>
      <c r="C70" s="4" t="s">
        <v>81</v>
      </c>
      <c r="D70" s="4" t="s">
        <v>333</v>
      </c>
      <c r="E70" s="25" t="s">
        <v>632</v>
      </c>
    </row>
    <row r="71" spans="1:5" ht="12.75">
      <c r="A71" s="21" t="s">
        <v>602</v>
      </c>
      <c r="B71" s="4" t="s">
        <v>253</v>
      </c>
      <c r="C71" s="4" t="s">
        <v>81</v>
      </c>
      <c r="D71" s="4" t="s">
        <v>169</v>
      </c>
      <c r="E71" s="25" t="s">
        <v>633</v>
      </c>
    </row>
    <row r="72" spans="1:5" ht="12.75">
      <c r="A72" s="21" t="s">
        <v>578</v>
      </c>
      <c r="B72" s="4" t="s">
        <v>253</v>
      </c>
      <c r="C72" s="4" t="s">
        <v>42</v>
      </c>
      <c r="D72" s="4" t="s">
        <v>91</v>
      </c>
      <c r="E72" s="25" t="s">
        <v>634</v>
      </c>
    </row>
    <row r="73" spans="1:5" ht="12.75">
      <c r="A73" s="21" t="s">
        <v>620</v>
      </c>
      <c r="B73" s="4" t="s">
        <v>253</v>
      </c>
      <c r="C73" s="4" t="s">
        <v>118</v>
      </c>
      <c r="D73" s="4" t="s">
        <v>624</v>
      </c>
      <c r="E73" s="25" t="s">
        <v>635</v>
      </c>
    </row>
    <row r="74" spans="1:5" ht="12.75">
      <c r="A74" s="21" t="s">
        <v>582</v>
      </c>
      <c r="B74" s="4" t="s">
        <v>253</v>
      </c>
      <c r="C74" s="4" t="s">
        <v>42</v>
      </c>
      <c r="D74" s="4" t="s">
        <v>126</v>
      </c>
      <c r="E74" s="25" t="s">
        <v>636</v>
      </c>
    </row>
    <row r="75" spans="1:5" ht="12.75">
      <c r="A75" s="21" t="s">
        <v>569</v>
      </c>
      <c r="B75" s="4" t="s">
        <v>253</v>
      </c>
      <c r="C75" s="4" t="s">
        <v>261</v>
      </c>
      <c r="D75" s="4" t="s">
        <v>573</v>
      </c>
      <c r="E75" s="25" t="s">
        <v>637</v>
      </c>
    </row>
    <row r="76" spans="1:5" ht="12.75">
      <c r="A76" s="21" t="s">
        <v>606</v>
      </c>
      <c r="B76" s="4" t="s">
        <v>253</v>
      </c>
      <c r="C76" s="4" t="s">
        <v>81</v>
      </c>
      <c r="D76" s="4" t="s">
        <v>79</v>
      </c>
      <c r="E76" s="25" t="s">
        <v>638</v>
      </c>
    </row>
    <row r="78" spans="1:2" ht="14.25">
      <c r="A78" s="22"/>
      <c r="B78" s="23" t="s">
        <v>303</v>
      </c>
    </row>
    <row r="79" spans="1:5" ht="15">
      <c r="A79" s="24" t="s">
        <v>243</v>
      </c>
      <c r="B79" s="24" t="s">
        <v>244</v>
      </c>
      <c r="C79" s="24" t="s">
        <v>245</v>
      </c>
      <c r="D79" s="24" t="s">
        <v>246</v>
      </c>
      <c r="E79" s="24" t="s">
        <v>247</v>
      </c>
    </row>
    <row r="80" spans="1:5" ht="12.75">
      <c r="A80" s="21" t="s">
        <v>586</v>
      </c>
      <c r="B80" s="4" t="s">
        <v>304</v>
      </c>
      <c r="C80" s="4" t="s">
        <v>42</v>
      </c>
      <c r="D80" s="4" t="s">
        <v>128</v>
      </c>
      <c r="E80" s="25" t="s">
        <v>639</v>
      </c>
    </row>
    <row r="81" spans="1:5" ht="12.75">
      <c r="A81" s="21" t="s">
        <v>615</v>
      </c>
      <c r="B81" s="4" t="s">
        <v>385</v>
      </c>
      <c r="C81" s="4" t="s">
        <v>105</v>
      </c>
      <c r="D81" s="4" t="s">
        <v>126</v>
      </c>
      <c r="E81" s="25" t="s">
        <v>640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A37:L37"/>
    <mergeCell ref="K3:K4"/>
    <mergeCell ref="L3:L4"/>
    <mergeCell ref="M3:M4"/>
    <mergeCell ref="A5:L5"/>
    <mergeCell ref="A8:L8"/>
    <mergeCell ref="A12:L12"/>
    <mergeCell ref="A15:L15"/>
    <mergeCell ref="A18:L18"/>
    <mergeCell ref="A21:L21"/>
    <mergeCell ref="A26:L26"/>
    <mergeCell ref="A33:L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1">
      <selection activeCell="D46" sqref="D46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25390625" style="4" bestFit="1" customWidth="1"/>
    <col min="14" max="16384" width="9.125" style="3" customWidth="1"/>
  </cols>
  <sheetData>
    <row r="1" spans="1:13" s="2" customFormat="1" ht="28.5" customHeight="1">
      <c r="A1" s="43" t="s">
        <v>885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2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387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8" t="s">
        <v>389</v>
      </c>
      <c r="B6" s="8" t="s">
        <v>390</v>
      </c>
      <c r="C6" s="8" t="s">
        <v>391</v>
      </c>
      <c r="D6" s="8" t="str">
        <f>"1,0361"</f>
        <v>1,0361</v>
      </c>
      <c r="E6" s="8" t="s">
        <v>24</v>
      </c>
      <c r="F6" s="8" t="s">
        <v>317</v>
      </c>
      <c r="G6" s="9" t="s">
        <v>45</v>
      </c>
      <c r="H6" s="9" t="s">
        <v>256</v>
      </c>
      <c r="I6" s="10" t="s">
        <v>103</v>
      </c>
      <c r="J6" s="10"/>
      <c r="K6" s="8" t="str">
        <f>"52,0"</f>
        <v>52,0</v>
      </c>
      <c r="L6" s="9" t="str">
        <f>"58,1902"</f>
        <v>58,1902</v>
      </c>
      <c r="M6" s="8" t="s">
        <v>392</v>
      </c>
    </row>
    <row r="8" spans="1:12" ht="15">
      <c r="A8" s="44" t="s">
        <v>64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2.75">
      <c r="A9" s="8" t="s">
        <v>394</v>
      </c>
      <c r="B9" s="8" t="s">
        <v>395</v>
      </c>
      <c r="C9" s="8" t="s">
        <v>396</v>
      </c>
      <c r="D9" s="8" t="str">
        <f>"0,8647"</f>
        <v>0,8647</v>
      </c>
      <c r="E9" s="8" t="s">
        <v>24</v>
      </c>
      <c r="F9" s="8" t="s">
        <v>52</v>
      </c>
      <c r="G9" s="9" t="s">
        <v>397</v>
      </c>
      <c r="H9" s="9" t="s">
        <v>398</v>
      </c>
      <c r="I9" s="10" t="s">
        <v>44</v>
      </c>
      <c r="J9" s="10"/>
      <c r="K9" s="8" t="str">
        <f>"42,5"</f>
        <v>42,5</v>
      </c>
      <c r="L9" s="9" t="str">
        <f>"36,7476"</f>
        <v>36,7476</v>
      </c>
      <c r="M9" s="8" t="s">
        <v>399</v>
      </c>
    </row>
    <row r="11" spans="1:12" ht="15">
      <c r="A11" s="44" t="s">
        <v>84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3" ht="12.75">
      <c r="A12" s="11" t="s">
        <v>401</v>
      </c>
      <c r="B12" s="11" t="s">
        <v>402</v>
      </c>
      <c r="C12" s="11" t="s">
        <v>403</v>
      </c>
      <c r="D12" s="11" t="str">
        <f>"0,7974"</f>
        <v>0,7974</v>
      </c>
      <c r="E12" s="11" t="s">
        <v>24</v>
      </c>
      <c r="F12" s="11" t="s">
        <v>78</v>
      </c>
      <c r="G12" s="12" t="s">
        <v>404</v>
      </c>
      <c r="H12" s="12" t="s">
        <v>40</v>
      </c>
      <c r="I12" s="13" t="s">
        <v>405</v>
      </c>
      <c r="J12" s="13"/>
      <c r="K12" s="11" t="str">
        <f>"85,0"</f>
        <v>85,0</v>
      </c>
      <c r="L12" s="12" t="str">
        <f>"69,8124"</f>
        <v>69,8124</v>
      </c>
      <c r="M12" s="11" t="s">
        <v>406</v>
      </c>
    </row>
    <row r="13" spans="1:13" ht="12.75">
      <c r="A13" s="14" t="s">
        <v>408</v>
      </c>
      <c r="B13" s="14" t="s">
        <v>409</v>
      </c>
      <c r="C13" s="14" t="s">
        <v>410</v>
      </c>
      <c r="D13" s="14" t="str">
        <f>"0,8197"</f>
        <v>0,8197</v>
      </c>
      <c r="E13" s="14" t="s">
        <v>24</v>
      </c>
      <c r="F13" s="14" t="s">
        <v>311</v>
      </c>
      <c r="G13" s="16" t="s">
        <v>103</v>
      </c>
      <c r="H13" s="16" t="s">
        <v>26</v>
      </c>
      <c r="I13" s="15" t="s">
        <v>27</v>
      </c>
      <c r="J13" s="15"/>
      <c r="K13" s="14" t="str">
        <f>"60,0"</f>
        <v>60,0</v>
      </c>
      <c r="L13" s="16" t="str">
        <f>"49,1820"</f>
        <v>49,1820</v>
      </c>
      <c r="M13" s="14" t="s">
        <v>83</v>
      </c>
    </row>
    <row r="15" spans="1:12" ht="15">
      <c r="A15" s="44" t="s">
        <v>111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3" ht="12.75">
      <c r="A16" s="8" t="s">
        <v>113</v>
      </c>
      <c r="B16" s="8" t="s">
        <v>114</v>
      </c>
      <c r="C16" s="8" t="s">
        <v>115</v>
      </c>
      <c r="D16" s="8" t="str">
        <f>"0,6777"</f>
        <v>0,6777</v>
      </c>
      <c r="E16" s="8" t="s">
        <v>24</v>
      </c>
      <c r="F16" s="8" t="s">
        <v>116</v>
      </c>
      <c r="G16" s="9" t="s">
        <v>27</v>
      </c>
      <c r="H16" s="9" t="s">
        <v>28</v>
      </c>
      <c r="I16" s="10" t="s">
        <v>55</v>
      </c>
      <c r="J16" s="10"/>
      <c r="K16" s="8" t="str">
        <f>"70,0"</f>
        <v>70,0</v>
      </c>
      <c r="L16" s="9" t="str">
        <f>"47,4390"</f>
        <v>47,4390</v>
      </c>
      <c r="M16" s="8" t="s">
        <v>119</v>
      </c>
    </row>
    <row r="18" spans="1:12" ht="15">
      <c r="A18" s="44" t="s">
        <v>19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3" ht="12.75">
      <c r="A19" s="8" t="s">
        <v>412</v>
      </c>
      <c r="B19" s="8" t="s">
        <v>413</v>
      </c>
      <c r="C19" s="8" t="s">
        <v>414</v>
      </c>
      <c r="D19" s="8" t="str">
        <f>"1,1657"</f>
        <v>1,1657</v>
      </c>
      <c r="E19" s="8" t="s">
        <v>124</v>
      </c>
      <c r="F19" s="8" t="s">
        <v>52</v>
      </c>
      <c r="G19" s="9" t="s">
        <v>30</v>
      </c>
      <c r="H19" s="9" t="s">
        <v>415</v>
      </c>
      <c r="I19" s="9" t="s">
        <v>31</v>
      </c>
      <c r="J19" s="10"/>
      <c r="K19" s="8" t="str">
        <f>"30,0"</f>
        <v>30,0</v>
      </c>
      <c r="L19" s="9" t="str">
        <f>"43,0143"</f>
        <v>43,0143</v>
      </c>
      <c r="M19" s="8" t="s">
        <v>129</v>
      </c>
    </row>
    <row r="21" spans="1:12" ht="15">
      <c r="A21" s="44" t="s">
        <v>58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3" ht="12.75">
      <c r="A22" s="8" t="s">
        <v>121</v>
      </c>
      <c r="B22" s="8" t="s">
        <v>122</v>
      </c>
      <c r="C22" s="8" t="s">
        <v>123</v>
      </c>
      <c r="D22" s="8" t="str">
        <f>"0,8888"</f>
        <v>0,8888</v>
      </c>
      <c r="E22" s="8" t="s">
        <v>124</v>
      </c>
      <c r="F22" s="8" t="s">
        <v>52</v>
      </c>
      <c r="G22" s="9" t="s">
        <v>71</v>
      </c>
      <c r="H22" s="9" t="s">
        <v>71</v>
      </c>
      <c r="I22" s="10" t="s">
        <v>81</v>
      </c>
      <c r="J22" s="10"/>
      <c r="K22" s="8" t="str">
        <f>"105,0"</f>
        <v>105,0</v>
      </c>
      <c r="L22" s="9" t="str">
        <f>"93,3240"</f>
        <v>93,3240</v>
      </c>
      <c r="M22" s="8" t="s">
        <v>129</v>
      </c>
    </row>
    <row r="24" spans="1:12" ht="15">
      <c r="A24" s="44" t="s">
        <v>84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3" ht="12.75">
      <c r="A25" s="11" t="s">
        <v>417</v>
      </c>
      <c r="B25" s="11" t="s">
        <v>418</v>
      </c>
      <c r="C25" s="11" t="s">
        <v>419</v>
      </c>
      <c r="D25" s="11" t="str">
        <f>"0,7717"</f>
        <v>0,7717</v>
      </c>
      <c r="E25" s="11" t="s">
        <v>124</v>
      </c>
      <c r="F25" s="11" t="s">
        <v>52</v>
      </c>
      <c r="G25" s="13" t="s">
        <v>103</v>
      </c>
      <c r="H25" s="12" t="s">
        <v>103</v>
      </c>
      <c r="I25" s="12" t="s">
        <v>27</v>
      </c>
      <c r="J25" s="13"/>
      <c r="K25" s="11" t="str">
        <f>"65,0"</f>
        <v>65,0</v>
      </c>
      <c r="L25" s="12" t="str">
        <f>"59,1894"</f>
        <v>59,1894</v>
      </c>
      <c r="M25" s="11" t="s">
        <v>129</v>
      </c>
    </row>
    <row r="26" spans="1:13" ht="12.75">
      <c r="A26" s="17" t="s">
        <v>421</v>
      </c>
      <c r="B26" s="17" t="s">
        <v>422</v>
      </c>
      <c r="C26" s="17" t="s">
        <v>423</v>
      </c>
      <c r="D26" s="17" t="str">
        <f>"0,7273"</f>
        <v>0,7273</v>
      </c>
      <c r="E26" s="17" t="s">
        <v>24</v>
      </c>
      <c r="F26" s="17" t="s">
        <v>116</v>
      </c>
      <c r="G26" s="18" t="s">
        <v>102</v>
      </c>
      <c r="H26" s="19" t="s">
        <v>105</v>
      </c>
      <c r="I26" s="19" t="s">
        <v>105</v>
      </c>
      <c r="J26" s="19"/>
      <c r="K26" s="17" t="str">
        <f>"117,5"</f>
        <v>117,5</v>
      </c>
      <c r="L26" s="18" t="str">
        <f>"85,4577"</f>
        <v>85,4577</v>
      </c>
      <c r="M26" s="17" t="s">
        <v>424</v>
      </c>
    </row>
    <row r="27" spans="1:13" ht="12.75">
      <c r="A27" s="14" t="s">
        <v>426</v>
      </c>
      <c r="B27" s="14" t="s">
        <v>427</v>
      </c>
      <c r="C27" s="14" t="s">
        <v>428</v>
      </c>
      <c r="D27" s="14" t="str">
        <f>"0,7268"</f>
        <v>0,7268</v>
      </c>
      <c r="E27" s="14" t="s">
        <v>24</v>
      </c>
      <c r="F27" s="14" t="s">
        <v>317</v>
      </c>
      <c r="G27" s="16" t="s">
        <v>429</v>
      </c>
      <c r="H27" s="15" t="s">
        <v>81</v>
      </c>
      <c r="I27" s="15" t="s">
        <v>81</v>
      </c>
      <c r="J27" s="15"/>
      <c r="K27" s="14" t="str">
        <f>"102,5"</f>
        <v>102,5</v>
      </c>
      <c r="L27" s="16" t="str">
        <f>"74,4970"</f>
        <v>74,4970</v>
      </c>
      <c r="M27" s="14" t="s">
        <v>83</v>
      </c>
    </row>
    <row r="29" spans="1:12" ht="15">
      <c r="A29" s="44" t="s">
        <v>150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3" ht="12.75">
      <c r="A30" s="11" t="s">
        <v>431</v>
      </c>
      <c r="B30" s="11" t="s">
        <v>432</v>
      </c>
      <c r="C30" s="11" t="s">
        <v>433</v>
      </c>
      <c r="D30" s="11" t="str">
        <f>"0,6789"</f>
        <v>0,6789</v>
      </c>
      <c r="E30" s="11" t="s">
        <v>434</v>
      </c>
      <c r="F30" s="11" t="s">
        <v>240</v>
      </c>
      <c r="G30" s="12" t="s">
        <v>42</v>
      </c>
      <c r="H30" s="12" t="s">
        <v>71</v>
      </c>
      <c r="I30" s="13" t="s">
        <v>435</v>
      </c>
      <c r="J30" s="13"/>
      <c r="K30" s="11" t="str">
        <f>"105,0"</f>
        <v>105,0</v>
      </c>
      <c r="L30" s="12" t="str">
        <f>"74,1359"</f>
        <v>74,1359</v>
      </c>
      <c r="M30" s="11" t="s">
        <v>436</v>
      </c>
    </row>
    <row r="31" spans="1:13" ht="12.75">
      <c r="A31" s="17" t="s">
        <v>438</v>
      </c>
      <c r="B31" s="17" t="s">
        <v>439</v>
      </c>
      <c r="C31" s="17" t="s">
        <v>440</v>
      </c>
      <c r="D31" s="17" t="str">
        <f>"0,6752"</f>
        <v>0,6752</v>
      </c>
      <c r="E31" s="17" t="s">
        <v>24</v>
      </c>
      <c r="F31" s="17" t="s">
        <v>116</v>
      </c>
      <c r="G31" s="18" t="s">
        <v>441</v>
      </c>
      <c r="H31" s="18" t="s">
        <v>125</v>
      </c>
      <c r="I31" s="18" t="s">
        <v>118</v>
      </c>
      <c r="J31" s="19"/>
      <c r="K31" s="17" t="str">
        <f>"140,0"</f>
        <v>140,0</v>
      </c>
      <c r="L31" s="18" t="str">
        <f>"94,5280"</f>
        <v>94,5280</v>
      </c>
      <c r="M31" s="17" t="s">
        <v>424</v>
      </c>
    </row>
    <row r="32" spans="1:13" ht="12.75">
      <c r="A32" s="17" t="s">
        <v>443</v>
      </c>
      <c r="B32" s="17" t="s">
        <v>444</v>
      </c>
      <c r="C32" s="17" t="s">
        <v>445</v>
      </c>
      <c r="D32" s="17" t="str">
        <f>"0,6782"</f>
        <v>0,6782</v>
      </c>
      <c r="E32" s="17" t="s">
        <v>24</v>
      </c>
      <c r="F32" s="17" t="s">
        <v>311</v>
      </c>
      <c r="G32" s="18" t="s">
        <v>117</v>
      </c>
      <c r="H32" s="18" t="s">
        <v>312</v>
      </c>
      <c r="I32" s="19" t="s">
        <v>118</v>
      </c>
      <c r="J32" s="19"/>
      <c r="K32" s="17" t="str">
        <f>"137,5"</f>
        <v>137,5</v>
      </c>
      <c r="L32" s="18" t="str">
        <f>"93,2525"</f>
        <v>93,2525</v>
      </c>
      <c r="M32" s="17" t="s">
        <v>83</v>
      </c>
    </row>
    <row r="33" spans="1:13" ht="12.75">
      <c r="A33" s="17" t="s">
        <v>446</v>
      </c>
      <c r="B33" s="17" t="s">
        <v>161</v>
      </c>
      <c r="C33" s="17" t="s">
        <v>162</v>
      </c>
      <c r="D33" s="17" t="str">
        <f>"0,6828"</f>
        <v>0,6828</v>
      </c>
      <c r="E33" s="17" t="s">
        <v>24</v>
      </c>
      <c r="F33" s="17" t="s">
        <v>78</v>
      </c>
      <c r="G33" s="18" t="s">
        <v>46</v>
      </c>
      <c r="H33" s="18" t="s">
        <v>105</v>
      </c>
      <c r="I33" s="18" t="s">
        <v>117</v>
      </c>
      <c r="J33" s="19"/>
      <c r="K33" s="17" t="str">
        <f>"130,0"</f>
        <v>130,0</v>
      </c>
      <c r="L33" s="18" t="str">
        <f>"88,7640"</f>
        <v>88,7640</v>
      </c>
      <c r="M33" s="17" t="s">
        <v>83</v>
      </c>
    </row>
    <row r="34" spans="1:13" ht="12.75">
      <c r="A34" s="14" t="s">
        <v>448</v>
      </c>
      <c r="B34" s="14" t="s">
        <v>449</v>
      </c>
      <c r="C34" s="14" t="s">
        <v>450</v>
      </c>
      <c r="D34" s="14" t="str">
        <f>"0,6652"</f>
        <v>0,6652</v>
      </c>
      <c r="E34" s="14" t="s">
        <v>24</v>
      </c>
      <c r="F34" s="14" t="s">
        <v>221</v>
      </c>
      <c r="G34" s="16" t="s">
        <v>441</v>
      </c>
      <c r="H34" s="16" t="s">
        <v>312</v>
      </c>
      <c r="I34" s="16" t="s">
        <v>118</v>
      </c>
      <c r="J34" s="15"/>
      <c r="K34" s="14" t="str">
        <f>"140,0"</f>
        <v>140,0</v>
      </c>
      <c r="L34" s="16" t="str">
        <f>"93,9662"</f>
        <v>93,9662</v>
      </c>
      <c r="M34" s="14" t="s">
        <v>451</v>
      </c>
    </row>
    <row r="36" spans="1:12" ht="15">
      <c r="A36" s="44" t="s">
        <v>111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3" ht="12.75">
      <c r="A37" s="11" t="s">
        <v>452</v>
      </c>
      <c r="B37" s="11" t="s">
        <v>453</v>
      </c>
      <c r="C37" s="11" t="s">
        <v>454</v>
      </c>
      <c r="D37" s="11" t="str">
        <f>"0,6399"</f>
        <v>0,6399</v>
      </c>
      <c r="E37" s="11" t="s">
        <v>24</v>
      </c>
      <c r="F37" s="11" t="s">
        <v>52</v>
      </c>
      <c r="G37" s="13" t="s">
        <v>55</v>
      </c>
      <c r="H37" s="13" t="s">
        <v>55</v>
      </c>
      <c r="I37" s="13"/>
      <c r="J37" s="13"/>
      <c r="K37" s="11" t="str">
        <f>"0.00"</f>
        <v>0.00</v>
      </c>
      <c r="L37" s="12" t="str">
        <f>"0,0000"</f>
        <v>0,0000</v>
      </c>
      <c r="M37" s="11" t="s">
        <v>455</v>
      </c>
    </row>
    <row r="38" spans="1:13" ht="12.75">
      <c r="A38" s="17" t="s">
        <v>457</v>
      </c>
      <c r="B38" s="17" t="s">
        <v>458</v>
      </c>
      <c r="C38" s="17" t="s">
        <v>459</v>
      </c>
      <c r="D38" s="17" t="str">
        <f>"0,6241"</f>
        <v>0,6241</v>
      </c>
      <c r="E38" s="17" t="s">
        <v>460</v>
      </c>
      <c r="F38" s="17" t="s">
        <v>52</v>
      </c>
      <c r="G38" s="18" t="s">
        <v>89</v>
      </c>
      <c r="H38" s="18" t="s">
        <v>461</v>
      </c>
      <c r="I38" s="18" t="s">
        <v>318</v>
      </c>
      <c r="J38" s="19"/>
      <c r="K38" s="17" t="str">
        <f>"157,5"</f>
        <v>157,5</v>
      </c>
      <c r="L38" s="18" t="str">
        <f>"98,2958"</f>
        <v>98,2958</v>
      </c>
      <c r="M38" s="17" t="s">
        <v>83</v>
      </c>
    </row>
    <row r="39" spans="1:13" ht="12.75">
      <c r="A39" s="17" t="s">
        <v>463</v>
      </c>
      <c r="B39" s="17" t="s">
        <v>464</v>
      </c>
      <c r="C39" s="17" t="s">
        <v>465</v>
      </c>
      <c r="D39" s="17" t="str">
        <f>"0,6370"</f>
        <v>0,6370</v>
      </c>
      <c r="E39" s="17" t="s">
        <v>124</v>
      </c>
      <c r="F39" s="17" t="s">
        <v>52</v>
      </c>
      <c r="G39" s="18" t="s">
        <v>125</v>
      </c>
      <c r="H39" s="18" t="s">
        <v>313</v>
      </c>
      <c r="I39" s="19" t="s">
        <v>90</v>
      </c>
      <c r="J39" s="19"/>
      <c r="K39" s="17" t="str">
        <f>"147,5"</f>
        <v>147,5</v>
      </c>
      <c r="L39" s="18" t="str">
        <f>"93,9575"</f>
        <v>93,9575</v>
      </c>
      <c r="M39" s="17" t="s">
        <v>83</v>
      </c>
    </row>
    <row r="40" spans="1:13" ht="12.75">
      <c r="A40" s="14" t="s">
        <v>467</v>
      </c>
      <c r="B40" s="14" t="s">
        <v>468</v>
      </c>
      <c r="C40" s="14" t="s">
        <v>469</v>
      </c>
      <c r="D40" s="14" t="str">
        <f>"0,6301"</f>
        <v>0,6301</v>
      </c>
      <c r="E40" s="14" t="s">
        <v>470</v>
      </c>
      <c r="F40" s="14" t="s">
        <v>221</v>
      </c>
      <c r="G40" s="16" t="s">
        <v>117</v>
      </c>
      <c r="H40" s="15" t="s">
        <v>312</v>
      </c>
      <c r="I40" s="16" t="s">
        <v>312</v>
      </c>
      <c r="J40" s="15"/>
      <c r="K40" s="14" t="str">
        <f>"137,5"</f>
        <v>137,5</v>
      </c>
      <c r="L40" s="16" t="str">
        <f>"86,6388"</f>
        <v>86,6388</v>
      </c>
      <c r="M40" s="14" t="s">
        <v>83</v>
      </c>
    </row>
    <row r="42" spans="1:12" ht="15">
      <c r="A42" s="44" t="s">
        <v>196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3" ht="12.75">
      <c r="A43" s="11" t="s">
        <v>471</v>
      </c>
      <c r="B43" s="11" t="s">
        <v>199</v>
      </c>
      <c r="C43" s="11" t="s">
        <v>472</v>
      </c>
      <c r="D43" s="11" t="str">
        <f>"0,5861"</f>
        <v>0,5861</v>
      </c>
      <c r="E43" s="11" t="s">
        <v>124</v>
      </c>
      <c r="F43" s="11" t="s">
        <v>52</v>
      </c>
      <c r="G43" s="13" t="s">
        <v>117</v>
      </c>
      <c r="H43" s="12" t="s">
        <v>125</v>
      </c>
      <c r="I43" s="12" t="s">
        <v>118</v>
      </c>
      <c r="J43" s="13"/>
      <c r="K43" s="11" t="str">
        <f>"140,0"</f>
        <v>140,0</v>
      </c>
      <c r="L43" s="12" t="str">
        <f>"84,5156"</f>
        <v>84,5156</v>
      </c>
      <c r="M43" s="11" t="s">
        <v>83</v>
      </c>
    </row>
    <row r="44" spans="1:13" ht="12.75">
      <c r="A44" s="17" t="s">
        <v>474</v>
      </c>
      <c r="B44" s="17" t="s">
        <v>475</v>
      </c>
      <c r="C44" s="17" t="s">
        <v>476</v>
      </c>
      <c r="D44" s="17" t="str">
        <f>"0,5935"</f>
        <v>0,5935</v>
      </c>
      <c r="E44" s="17" t="s">
        <v>124</v>
      </c>
      <c r="F44" s="17" t="s">
        <v>52</v>
      </c>
      <c r="G44" s="18" t="s">
        <v>42</v>
      </c>
      <c r="H44" s="19" t="s">
        <v>435</v>
      </c>
      <c r="I44" s="19" t="s">
        <v>435</v>
      </c>
      <c r="J44" s="19"/>
      <c r="K44" s="17" t="str">
        <f>"100,0"</f>
        <v>100,0</v>
      </c>
      <c r="L44" s="18" t="str">
        <f>"59,3500"</f>
        <v>59,3500</v>
      </c>
      <c r="M44" s="17" t="s">
        <v>129</v>
      </c>
    </row>
    <row r="45" spans="1:13" ht="12.75">
      <c r="A45" s="17" t="s">
        <v>477</v>
      </c>
      <c r="B45" s="17" t="s">
        <v>204</v>
      </c>
      <c r="C45" s="17" t="s">
        <v>205</v>
      </c>
      <c r="D45" s="17" t="str">
        <f>"0,5853"</f>
        <v>0,5853</v>
      </c>
      <c r="E45" s="17" t="s">
        <v>24</v>
      </c>
      <c r="F45" s="17" t="s">
        <v>206</v>
      </c>
      <c r="G45" s="18" t="s">
        <v>128</v>
      </c>
      <c r="H45" s="18" t="s">
        <v>156</v>
      </c>
      <c r="I45" s="19" t="s">
        <v>157</v>
      </c>
      <c r="J45" s="19"/>
      <c r="K45" s="17" t="str">
        <f>"190,0"</f>
        <v>190,0</v>
      </c>
      <c r="L45" s="18" t="str">
        <f>"111,2070"</f>
        <v>111,2070</v>
      </c>
      <c r="M45" s="17" t="s">
        <v>83</v>
      </c>
    </row>
    <row r="46" spans="1:13" ht="12.75">
      <c r="A46" s="17" t="s">
        <v>479</v>
      </c>
      <c r="B46" s="17" t="s">
        <v>480</v>
      </c>
      <c r="C46" s="17" t="s">
        <v>481</v>
      </c>
      <c r="D46" s="17" t="str">
        <f>"0,5956"</f>
        <v>0,5956</v>
      </c>
      <c r="E46" s="17" t="s">
        <v>24</v>
      </c>
      <c r="F46" s="17" t="s">
        <v>52</v>
      </c>
      <c r="G46" s="18" t="s">
        <v>89</v>
      </c>
      <c r="H46" s="18" t="s">
        <v>126</v>
      </c>
      <c r="I46" s="18" t="s">
        <v>90</v>
      </c>
      <c r="J46" s="19"/>
      <c r="K46" s="17" t="str">
        <f>"155,0"</f>
        <v>155,0</v>
      </c>
      <c r="L46" s="18" t="str">
        <f>"92,3180"</f>
        <v>92,3180</v>
      </c>
      <c r="M46" s="17" t="s">
        <v>83</v>
      </c>
    </row>
    <row r="47" spans="1:13" ht="12.75">
      <c r="A47" s="17" t="s">
        <v>483</v>
      </c>
      <c r="B47" s="17" t="s">
        <v>484</v>
      </c>
      <c r="C47" s="17" t="s">
        <v>485</v>
      </c>
      <c r="D47" s="17" t="str">
        <f>"0,5918"</f>
        <v>0,5918</v>
      </c>
      <c r="E47" s="17" t="s">
        <v>24</v>
      </c>
      <c r="F47" s="17" t="s">
        <v>52</v>
      </c>
      <c r="G47" s="19" t="s">
        <v>117</v>
      </c>
      <c r="H47" s="18" t="s">
        <v>125</v>
      </c>
      <c r="I47" s="19" t="s">
        <v>118</v>
      </c>
      <c r="J47" s="19"/>
      <c r="K47" s="17" t="str">
        <f>"135,0"</f>
        <v>135,0</v>
      </c>
      <c r="L47" s="18" t="str">
        <f>"79,8930"</f>
        <v>79,8930</v>
      </c>
      <c r="M47" s="17" t="s">
        <v>486</v>
      </c>
    </row>
    <row r="48" spans="1:13" ht="12.75">
      <c r="A48" s="17" t="s">
        <v>488</v>
      </c>
      <c r="B48" s="17" t="s">
        <v>489</v>
      </c>
      <c r="C48" s="17" t="s">
        <v>490</v>
      </c>
      <c r="D48" s="17" t="str">
        <f>"0,5865"</f>
        <v>0,5865</v>
      </c>
      <c r="E48" s="17" t="s">
        <v>24</v>
      </c>
      <c r="F48" s="17" t="s">
        <v>101</v>
      </c>
      <c r="G48" s="18" t="s">
        <v>126</v>
      </c>
      <c r="H48" s="18" t="s">
        <v>90</v>
      </c>
      <c r="I48" s="18" t="s">
        <v>91</v>
      </c>
      <c r="J48" s="19"/>
      <c r="K48" s="17" t="str">
        <f>"160,0"</f>
        <v>160,0</v>
      </c>
      <c r="L48" s="18" t="str">
        <f>"94,6846"</f>
        <v>94,6846</v>
      </c>
      <c r="M48" s="17" t="s">
        <v>83</v>
      </c>
    </row>
    <row r="49" spans="1:13" ht="12.75">
      <c r="A49" s="17" t="s">
        <v>492</v>
      </c>
      <c r="B49" s="17" t="s">
        <v>493</v>
      </c>
      <c r="C49" s="17" t="s">
        <v>476</v>
      </c>
      <c r="D49" s="17" t="str">
        <f>"0,5935"</f>
        <v>0,5935</v>
      </c>
      <c r="E49" s="17" t="s">
        <v>24</v>
      </c>
      <c r="F49" s="17" t="s">
        <v>52</v>
      </c>
      <c r="G49" s="18" t="s">
        <v>126</v>
      </c>
      <c r="H49" s="19" t="s">
        <v>461</v>
      </c>
      <c r="I49" s="19" t="s">
        <v>461</v>
      </c>
      <c r="J49" s="19"/>
      <c r="K49" s="17" t="str">
        <f>"150,0"</f>
        <v>150,0</v>
      </c>
      <c r="L49" s="18" t="str">
        <f>"91,7848"</f>
        <v>91,7848</v>
      </c>
      <c r="M49" s="17" t="s">
        <v>83</v>
      </c>
    </row>
    <row r="50" spans="1:13" ht="12.75">
      <c r="A50" s="14" t="s">
        <v>495</v>
      </c>
      <c r="B50" s="14" t="s">
        <v>496</v>
      </c>
      <c r="C50" s="14" t="s">
        <v>497</v>
      </c>
      <c r="D50" s="14" t="str">
        <f>"0,5873"</f>
        <v>0,5873</v>
      </c>
      <c r="E50" s="14" t="s">
        <v>24</v>
      </c>
      <c r="F50" s="14" t="s">
        <v>317</v>
      </c>
      <c r="G50" s="16" t="s">
        <v>118</v>
      </c>
      <c r="H50" s="16" t="s">
        <v>313</v>
      </c>
      <c r="I50" s="15" t="s">
        <v>90</v>
      </c>
      <c r="J50" s="15"/>
      <c r="K50" s="14" t="str">
        <f>"147,5"</f>
        <v>147,5</v>
      </c>
      <c r="L50" s="16" t="str">
        <f>"86,8866"</f>
        <v>86,8866</v>
      </c>
      <c r="M50" s="14" t="s">
        <v>83</v>
      </c>
    </row>
    <row r="52" spans="1:12" ht="15">
      <c r="A52" s="44" t="s">
        <v>208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3" ht="12.75">
      <c r="A53" s="11" t="s">
        <v>499</v>
      </c>
      <c r="B53" s="11" t="s">
        <v>500</v>
      </c>
      <c r="C53" s="11" t="s">
        <v>501</v>
      </c>
      <c r="D53" s="11" t="str">
        <f>"0,5730"</f>
        <v>0,5730</v>
      </c>
      <c r="E53" s="11" t="s">
        <v>24</v>
      </c>
      <c r="F53" s="11" t="s">
        <v>116</v>
      </c>
      <c r="G53" s="12" t="s">
        <v>126</v>
      </c>
      <c r="H53" s="12" t="s">
        <v>90</v>
      </c>
      <c r="I53" s="12" t="s">
        <v>318</v>
      </c>
      <c r="J53" s="13"/>
      <c r="K53" s="11" t="str">
        <f>"157,5"</f>
        <v>157,5</v>
      </c>
      <c r="L53" s="12" t="str">
        <f>"90,2475"</f>
        <v>90,2475</v>
      </c>
      <c r="M53" s="11" t="s">
        <v>83</v>
      </c>
    </row>
    <row r="54" spans="1:13" ht="12.75">
      <c r="A54" s="14" t="s">
        <v>503</v>
      </c>
      <c r="B54" s="14" t="s">
        <v>504</v>
      </c>
      <c r="C54" s="14" t="s">
        <v>332</v>
      </c>
      <c r="D54" s="14" t="str">
        <f>"0,5545"</f>
        <v>0,5545</v>
      </c>
      <c r="E54" s="14" t="s">
        <v>124</v>
      </c>
      <c r="F54" s="14" t="s">
        <v>52</v>
      </c>
      <c r="G54" s="16" t="s">
        <v>105</v>
      </c>
      <c r="H54" s="15" t="s">
        <v>125</v>
      </c>
      <c r="I54" s="15" t="s">
        <v>125</v>
      </c>
      <c r="J54" s="15"/>
      <c r="K54" s="14" t="str">
        <f>"125,0"</f>
        <v>125,0</v>
      </c>
      <c r="L54" s="16" t="str">
        <f>"69,3125"</f>
        <v>69,3125</v>
      </c>
      <c r="M54" s="14" t="s">
        <v>129</v>
      </c>
    </row>
    <row r="56" spans="1:12" ht="15">
      <c r="A56" s="44" t="s">
        <v>228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3" ht="12.75">
      <c r="A57" s="11" t="s">
        <v>506</v>
      </c>
      <c r="B57" s="11" t="s">
        <v>507</v>
      </c>
      <c r="C57" s="11" t="s">
        <v>508</v>
      </c>
      <c r="D57" s="11" t="str">
        <f>"0,5437"</f>
        <v>0,5437</v>
      </c>
      <c r="E57" s="11" t="s">
        <v>24</v>
      </c>
      <c r="F57" s="11" t="s">
        <v>311</v>
      </c>
      <c r="G57" s="13" t="s">
        <v>94</v>
      </c>
      <c r="H57" s="12" t="s">
        <v>94</v>
      </c>
      <c r="I57" s="12" t="s">
        <v>227</v>
      </c>
      <c r="J57" s="13"/>
      <c r="K57" s="11" t="str">
        <f>"175,0"</f>
        <v>175,0</v>
      </c>
      <c r="L57" s="12" t="str">
        <f>"95,1475"</f>
        <v>95,1475</v>
      </c>
      <c r="M57" s="11" t="s">
        <v>83</v>
      </c>
    </row>
    <row r="58" spans="1:13" ht="12.75">
      <c r="A58" s="17" t="s">
        <v>510</v>
      </c>
      <c r="B58" s="17" t="s">
        <v>511</v>
      </c>
      <c r="C58" s="17" t="s">
        <v>512</v>
      </c>
      <c r="D58" s="17" t="str">
        <f>"0,5386"</f>
        <v>0,5386</v>
      </c>
      <c r="E58" s="17" t="s">
        <v>124</v>
      </c>
      <c r="F58" s="17" t="s">
        <v>52</v>
      </c>
      <c r="G58" s="18" t="s">
        <v>91</v>
      </c>
      <c r="H58" s="19" t="s">
        <v>233</v>
      </c>
      <c r="I58" s="18" t="s">
        <v>233</v>
      </c>
      <c r="J58" s="19"/>
      <c r="K58" s="17" t="str">
        <f>"167,5"</f>
        <v>167,5</v>
      </c>
      <c r="L58" s="18" t="str">
        <f>"90,2155"</f>
        <v>90,2155</v>
      </c>
      <c r="M58" s="17" t="s">
        <v>83</v>
      </c>
    </row>
    <row r="59" spans="1:13" ht="12.75">
      <c r="A59" s="17" t="s">
        <v>513</v>
      </c>
      <c r="B59" s="17" t="s">
        <v>238</v>
      </c>
      <c r="C59" s="17" t="s">
        <v>239</v>
      </c>
      <c r="D59" s="17" t="str">
        <f>"0,5443"</f>
        <v>0,5443</v>
      </c>
      <c r="E59" s="17" t="s">
        <v>24</v>
      </c>
      <c r="F59" s="17" t="s">
        <v>240</v>
      </c>
      <c r="G59" s="18" t="s">
        <v>118</v>
      </c>
      <c r="H59" s="18" t="s">
        <v>91</v>
      </c>
      <c r="I59" s="19" t="s">
        <v>127</v>
      </c>
      <c r="J59" s="19"/>
      <c r="K59" s="17" t="str">
        <f>"160,0"</f>
        <v>160,0</v>
      </c>
      <c r="L59" s="18" t="str">
        <f>"87,0880"</f>
        <v>87,0880</v>
      </c>
      <c r="M59" s="17" t="s">
        <v>63</v>
      </c>
    </row>
    <row r="60" spans="1:13" ht="12.75">
      <c r="A60" s="14" t="s">
        <v>515</v>
      </c>
      <c r="B60" s="14" t="s">
        <v>516</v>
      </c>
      <c r="C60" s="14" t="s">
        <v>517</v>
      </c>
      <c r="D60" s="14" t="str">
        <f>"0,5465"</f>
        <v>0,5465</v>
      </c>
      <c r="E60" s="14" t="s">
        <v>24</v>
      </c>
      <c r="F60" s="14" t="s">
        <v>52</v>
      </c>
      <c r="G60" s="16" t="s">
        <v>313</v>
      </c>
      <c r="H60" s="16" t="s">
        <v>318</v>
      </c>
      <c r="I60" s="15" t="s">
        <v>233</v>
      </c>
      <c r="J60" s="15"/>
      <c r="K60" s="14" t="str">
        <f>"157,5"</f>
        <v>157,5</v>
      </c>
      <c r="L60" s="16" t="str">
        <f>"86,0738"</f>
        <v>86,0738</v>
      </c>
      <c r="M60" s="14" t="s">
        <v>83</v>
      </c>
    </row>
    <row r="62" ht="15">
      <c r="E62" s="6" t="s">
        <v>12</v>
      </c>
    </row>
    <row r="63" ht="15">
      <c r="E63" s="6" t="s">
        <v>13</v>
      </c>
    </row>
    <row r="64" ht="15">
      <c r="E64" s="6" t="s">
        <v>14</v>
      </c>
    </row>
    <row r="65" ht="15">
      <c r="E65" s="6" t="s">
        <v>15</v>
      </c>
    </row>
    <row r="66" ht="15">
      <c r="E66" s="6" t="s">
        <v>15</v>
      </c>
    </row>
    <row r="67" ht="15">
      <c r="E67" s="6" t="s">
        <v>16</v>
      </c>
    </row>
    <row r="68" ht="15">
      <c r="E68" s="6"/>
    </row>
    <row r="70" spans="1:2" ht="18">
      <c r="A70" s="7" t="s">
        <v>17</v>
      </c>
      <c r="B70" s="7"/>
    </row>
    <row r="71" spans="1:2" ht="15">
      <c r="A71" s="20" t="s">
        <v>241</v>
      </c>
      <c r="B71" s="20"/>
    </row>
    <row r="72" spans="1:2" ht="14.25">
      <c r="A72" s="22"/>
      <c r="B72" s="23" t="s">
        <v>242</v>
      </c>
    </row>
    <row r="73" spans="1:5" ht="15">
      <c r="A73" s="24" t="s">
        <v>243</v>
      </c>
      <c r="B73" s="24" t="s">
        <v>244</v>
      </c>
      <c r="C73" s="24" t="s">
        <v>245</v>
      </c>
      <c r="D73" s="24" t="s">
        <v>246</v>
      </c>
      <c r="E73" s="24" t="s">
        <v>247</v>
      </c>
    </row>
    <row r="74" spans="1:5" ht="12.75">
      <c r="A74" s="21" t="s">
        <v>388</v>
      </c>
      <c r="B74" s="4" t="s">
        <v>248</v>
      </c>
      <c r="C74" s="4" t="s">
        <v>518</v>
      </c>
      <c r="D74" s="4" t="s">
        <v>256</v>
      </c>
      <c r="E74" s="25" t="s">
        <v>519</v>
      </c>
    </row>
    <row r="76" spans="1:2" ht="14.25">
      <c r="A76" s="22"/>
      <c r="B76" s="23" t="s">
        <v>520</v>
      </c>
    </row>
    <row r="77" spans="1:5" ht="15">
      <c r="A77" s="24" t="s">
        <v>243</v>
      </c>
      <c r="B77" s="24" t="s">
        <v>244</v>
      </c>
      <c r="C77" s="24" t="s">
        <v>245</v>
      </c>
      <c r="D77" s="24" t="s">
        <v>246</v>
      </c>
      <c r="E77" s="24" t="s">
        <v>247</v>
      </c>
    </row>
    <row r="78" spans="1:5" ht="12.75">
      <c r="A78" s="21" t="s">
        <v>400</v>
      </c>
      <c r="B78" s="4" t="s">
        <v>279</v>
      </c>
      <c r="C78" s="4" t="s">
        <v>144</v>
      </c>
      <c r="D78" s="4" t="s">
        <v>40</v>
      </c>
      <c r="E78" s="25" t="s">
        <v>521</v>
      </c>
    </row>
    <row r="80" spans="1:2" ht="14.25">
      <c r="A80" s="22"/>
      <c r="B80" s="23" t="s">
        <v>253</v>
      </c>
    </row>
    <row r="81" spans="1:5" ht="15">
      <c r="A81" s="24" t="s">
        <v>243</v>
      </c>
      <c r="B81" s="24" t="s">
        <v>244</v>
      </c>
      <c r="C81" s="24" t="s">
        <v>245</v>
      </c>
      <c r="D81" s="24" t="s">
        <v>246</v>
      </c>
      <c r="E81" s="24" t="s">
        <v>247</v>
      </c>
    </row>
    <row r="82" spans="1:5" ht="12.75">
      <c r="A82" s="21" t="s">
        <v>400</v>
      </c>
      <c r="B82" s="4" t="s">
        <v>253</v>
      </c>
      <c r="C82" s="4" t="s">
        <v>144</v>
      </c>
      <c r="D82" s="4" t="s">
        <v>40</v>
      </c>
      <c r="E82" s="25" t="s">
        <v>521</v>
      </c>
    </row>
    <row r="83" spans="1:5" ht="12.75">
      <c r="A83" s="21" t="s">
        <v>407</v>
      </c>
      <c r="B83" s="4" t="s">
        <v>253</v>
      </c>
      <c r="C83" s="4" t="s">
        <v>144</v>
      </c>
      <c r="D83" s="4" t="s">
        <v>26</v>
      </c>
      <c r="E83" s="25" t="s">
        <v>522</v>
      </c>
    </row>
    <row r="84" spans="1:5" ht="12.75">
      <c r="A84" s="21" t="s">
        <v>112</v>
      </c>
      <c r="B84" s="4" t="s">
        <v>253</v>
      </c>
      <c r="C84" s="4" t="s">
        <v>261</v>
      </c>
      <c r="D84" s="4" t="s">
        <v>28</v>
      </c>
      <c r="E84" s="25" t="s">
        <v>523</v>
      </c>
    </row>
    <row r="85" spans="1:5" ht="12.75">
      <c r="A85" s="21" t="s">
        <v>393</v>
      </c>
      <c r="B85" s="4" t="s">
        <v>253</v>
      </c>
      <c r="C85" s="4" t="s">
        <v>26</v>
      </c>
      <c r="D85" s="4" t="s">
        <v>398</v>
      </c>
      <c r="E85" s="25" t="s">
        <v>524</v>
      </c>
    </row>
    <row r="88" spans="1:2" ht="15">
      <c r="A88" s="20" t="s">
        <v>269</v>
      </c>
      <c r="B88" s="20"/>
    </row>
    <row r="89" spans="1:2" ht="14.25">
      <c r="A89" s="22"/>
      <c r="B89" s="23" t="s">
        <v>270</v>
      </c>
    </row>
    <row r="90" spans="1:5" ht="15">
      <c r="A90" s="24" t="s">
        <v>243</v>
      </c>
      <c r="B90" s="24" t="s">
        <v>244</v>
      </c>
      <c r="C90" s="24" t="s">
        <v>245</v>
      </c>
      <c r="D90" s="24" t="s">
        <v>246</v>
      </c>
      <c r="E90" s="24" t="s">
        <v>247</v>
      </c>
    </row>
    <row r="91" spans="1:5" ht="12.75">
      <c r="A91" s="21" t="s">
        <v>430</v>
      </c>
      <c r="B91" s="4" t="s">
        <v>250</v>
      </c>
      <c r="C91" s="4" t="s">
        <v>55</v>
      </c>
      <c r="D91" s="4" t="s">
        <v>71</v>
      </c>
      <c r="E91" s="25" t="s">
        <v>525</v>
      </c>
    </row>
    <row r="92" spans="1:5" ht="12.75">
      <c r="A92" s="21" t="s">
        <v>416</v>
      </c>
      <c r="B92" s="4" t="s">
        <v>271</v>
      </c>
      <c r="C92" s="4" t="s">
        <v>144</v>
      </c>
      <c r="D92" s="4" t="s">
        <v>27</v>
      </c>
      <c r="E92" s="25" t="s">
        <v>526</v>
      </c>
    </row>
    <row r="93" spans="1:5" ht="12.75">
      <c r="A93" s="21" t="s">
        <v>411</v>
      </c>
      <c r="B93" s="4" t="s">
        <v>271</v>
      </c>
      <c r="C93" s="4" t="s">
        <v>251</v>
      </c>
      <c r="D93" s="4" t="s">
        <v>31</v>
      </c>
      <c r="E93" s="25" t="s">
        <v>527</v>
      </c>
    </row>
    <row r="95" spans="1:2" ht="14.25">
      <c r="A95" s="22"/>
      <c r="B95" s="23" t="s">
        <v>278</v>
      </c>
    </row>
    <row r="96" spans="1:5" ht="15">
      <c r="A96" s="24" t="s">
        <v>243</v>
      </c>
      <c r="B96" s="24" t="s">
        <v>244</v>
      </c>
      <c r="C96" s="24" t="s">
        <v>245</v>
      </c>
      <c r="D96" s="24" t="s">
        <v>246</v>
      </c>
      <c r="E96" s="24" t="s">
        <v>247</v>
      </c>
    </row>
    <row r="97" spans="1:5" ht="12.75">
      <c r="A97" s="21" t="s">
        <v>197</v>
      </c>
      <c r="B97" s="4" t="s">
        <v>279</v>
      </c>
      <c r="C97" s="4" t="s">
        <v>79</v>
      </c>
      <c r="D97" s="4" t="s">
        <v>118</v>
      </c>
      <c r="E97" s="25" t="s">
        <v>528</v>
      </c>
    </row>
    <row r="98" spans="1:5" ht="12.75">
      <c r="A98" s="21" t="s">
        <v>473</v>
      </c>
      <c r="B98" s="4" t="s">
        <v>279</v>
      </c>
      <c r="C98" s="4" t="s">
        <v>79</v>
      </c>
      <c r="D98" s="4" t="s">
        <v>42</v>
      </c>
      <c r="E98" s="25" t="s">
        <v>529</v>
      </c>
    </row>
    <row r="100" spans="1:2" ht="14.25">
      <c r="A100" s="22"/>
      <c r="B100" s="23" t="s">
        <v>253</v>
      </c>
    </row>
    <row r="101" spans="1:5" ht="15">
      <c r="A101" s="24" t="s">
        <v>243</v>
      </c>
      <c r="B101" s="24" t="s">
        <v>244</v>
      </c>
      <c r="C101" s="24" t="s">
        <v>245</v>
      </c>
      <c r="D101" s="24" t="s">
        <v>246</v>
      </c>
      <c r="E101" s="24" t="s">
        <v>247</v>
      </c>
    </row>
    <row r="102" spans="1:5" ht="12.75">
      <c r="A102" s="21" t="s">
        <v>202</v>
      </c>
      <c r="B102" s="4" t="s">
        <v>253</v>
      </c>
      <c r="C102" s="4" t="s">
        <v>79</v>
      </c>
      <c r="D102" s="4" t="s">
        <v>156</v>
      </c>
      <c r="E102" s="25" t="s">
        <v>530</v>
      </c>
    </row>
    <row r="103" spans="1:5" ht="12.75">
      <c r="A103" s="21" t="s">
        <v>456</v>
      </c>
      <c r="B103" s="4" t="s">
        <v>253</v>
      </c>
      <c r="C103" s="4" t="s">
        <v>261</v>
      </c>
      <c r="D103" s="4" t="s">
        <v>318</v>
      </c>
      <c r="E103" s="25" t="s">
        <v>531</v>
      </c>
    </row>
    <row r="104" spans="1:5" ht="12.75">
      <c r="A104" s="21" t="s">
        <v>505</v>
      </c>
      <c r="B104" s="4" t="s">
        <v>253</v>
      </c>
      <c r="C104" s="4" t="s">
        <v>81</v>
      </c>
      <c r="D104" s="4" t="s">
        <v>227</v>
      </c>
      <c r="E104" s="25" t="s">
        <v>532</v>
      </c>
    </row>
    <row r="105" spans="1:5" ht="12.75">
      <c r="A105" s="21" t="s">
        <v>437</v>
      </c>
      <c r="B105" s="4" t="s">
        <v>253</v>
      </c>
      <c r="C105" s="4" t="s">
        <v>55</v>
      </c>
      <c r="D105" s="4" t="s">
        <v>118</v>
      </c>
      <c r="E105" s="25" t="s">
        <v>533</v>
      </c>
    </row>
    <row r="106" spans="1:5" ht="12.75">
      <c r="A106" s="21" t="s">
        <v>462</v>
      </c>
      <c r="B106" s="4" t="s">
        <v>253</v>
      </c>
      <c r="C106" s="4" t="s">
        <v>261</v>
      </c>
      <c r="D106" s="4" t="s">
        <v>313</v>
      </c>
      <c r="E106" s="25" t="s">
        <v>534</v>
      </c>
    </row>
    <row r="107" spans="1:5" ht="12.75">
      <c r="A107" s="21" t="s">
        <v>120</v>
      </c>
      <c r="B107" s="4" t="s">
        <v>253</v>
      </c>
      <c r="C107" s="4" t="s">
        <v>266</v>
      </c>
      <c r="D107" s="4" t="s">
        <v>71</v>
      </c>
      <c r="E107" s="25" t="s">
        <v>535</v>
      </c>
    </row>
    <row r="108" spans="1:5" ht="12.75">
      <c r="A108" s="21" t="s">
        <v>442</v>
      </c>
      <c r="B108" s="4" t="s">
        <v>253</v>
      </c>
      <c r="C108" s="4" t="s">
        <v>55</v>
      </c>
      <c r="D108" s="4" t="s">
        <v>312</v>
      </c>
      <c r="E108" s="25" t="s">
        <v>536</v>
      </c>
    </row>
    <row r="109" spans="1:5" ht="12.75">
      <c r="A109" s="21" t="s">
        <v>478</v>
      </c>
      <c r="B109" s="4" t="s">
        <v>253</v>
      </c>
      <c r="C109" s="4" t="s">
        <v>79</v>
      </c>
      <c r="D109" s="4" t="s">
        <v>90</v>
      </c>
      <c r="E109" s="25" t="s">
        <v>537</v>
      </c>
    </row>
    <row r="110" spans="1:5" ht="12.75">
      <c r="A110" s="21" t="s">
        <v>498</v>
      </c>
      <c r="B110" s="4" t="s">
        <v>253</v>
      </c>
      <c r="C110" s="4" t="s">
        <v>42</v>
      </c>
      <c r="D110" s="4" t="s">
        <v>318</v>
      </c>
      <c r="E110" s="25" t="s">
        <v>538</v>
      </c>
    </row>
    <row r="111" spans="1:5" ht="12.75">
      <c r="A111" s="21" t="s">
        <v>509</v>
      </c>
      <c r="B111" s="4" t="s">
        <v>253</v>
      </c>
      <c r="C111" s="4" t="s">
        <v>81</v>
      </c>
      <c r="D111" s="4" t="s">
        <v>233</v>
      </c>
      <c r="E111" s="25" t="s">
        <v>539</v>
      </c>
    </row>
    <row r="112" spans="1:5" ht="12.75">
      <c r="A112" s="21" t="s">
        <v>159</v>
      </c>
      <c r="B112" s="4" t="s">
        <v>253</v>
      </c>
      <c r="C112" s="4" t="s">
        <v>55</v>
      </c>
      <c r="D112" s="4" t="s">
        <v>117</v>
      </c>
      <c r="E112" s="25" t="s">
        <v>540</v>
      </c>
    </row>
    <row r="113" spans="1:5" ht="12.75">
      <c r="A113" s="21" t="s">
        <v>236</v>
      </c>
      <c r="B113" s="4" t="s">
        <v>253</v>
      </c>
      <c r="C113" s="4" t="s">
        <v>81</v>
      </c>
      <c r="D113" s="4" t="s">
        <v>91</v>
      </c>
      <c r="E113" s="25" t="s">
        <v>541</v>
      </c>
    </row>
    <row r="114" spans="1:5" ht="12.75">
      <c r="A114" s="21" t="s">
        <v>466</v>
      </c>
      <c r="B114" s="4" t="s">
        <v>253</v>
      </c>
      <c r="C114" s="4" t="s">
        <v>261</v>
      </c>
      <c r="D114" s="4" t="s">
        <v>312</v>
      </c>
      <c r="E114" s="25" t="s">
        <v>542</v>
      </c>
    </row>
    <row r="115" spans="1:5" ht="12.75">
      <c r="A115" s="21" t="s">
        <v>514</v>
      </c>
      <c r="B115" s="4" t="s">
        <v>253</v>
      </c>
      <c r="C115" s="4" t="s">
        <v>81</v>
      </c>
      <c r="D115" s="4" t="s">
        <v>318</v>
      </c>
      <c r="E115" s="25" t="s">
        <v>543</v>
      </c>
    </row>
    <row r="116" spans="1:5" ht="12.75">
      <c r="A116" s="21" t="s">
        <v>420</v>
      </c>
      <c r="B116" s="4" t="s">
        <v>253</v>
      </c>
      <c r="C116" s="4" t="s">
        <v>144</v>
      </c>
      <c r="D116" s="4" t="s">
        <v>102</v>
      </c>
      <c r="E116" s="25" t="s">
        <v>544</v>
      </c>
    </row>
    <row r="117" spans="1:5" ht="12.75">
      <c r="A117" s="21" t="s">
        <v>482</v>
      </c>
      <c r="B117" s="4" t="s">
        <v>253</v>
      </c>
      <c r="C117" s="4" t="s">
        <v>79</v>
      </c>
      <c r="D117" s="4" t="s">
        <v>125</v>
      </c>
      <c r="E117" s="25" t="s">
        <v>545</v>
      </c>
    </row>
    <row r="118" spans="1:5" ht="12.75">
      <c r="A118" s="21" t="s">
        <v>425</v>
      </c>
      <c r="B118" s="4" t="s">
        <v>253</v>
      </c>
      <c r="C118" s="4" t="s">
        <v>144</v>
      </c>
      <c r="D118" s="4" t="s">
        <v>429</v>
      </c>
      <c r="E118" s="25" t="s">
        <v>546</v>
      </c>
    </row>
    <row r="119" spans="1:5" ht="12.75">
      <c r="A119" s="21" t="s">
        <v>502</v>
      </c>
      <c r="B119" s="4" t="s">
        <v>253</v>
      </c>
      <c r="C119" s="4" t="s">
        <v>42</v>
      </c>
      <c r="D119" s="4" t="s">
        <v>105</v>
      </c>
      <c r="E119" s="25" t="s">
        <v>547</v>
      </c>
    </row>
    <row r="121" spans="1:2" ht="14.25">
      <c r="A121" s="22"/>
      <c r="B121" s="23" t="s">
        <v>303</v>
      </c>
    </row>
    <row r="122" spans="1:5" ht="15">
      <c r="A122" s="24" t="s">
        <v>243</v>
      </c>
      <c r="B122" s="24" t="s">
        <v>244</v>
      </c>
      <c r="C122" s="24" t="s">
        <v>245</v>
      </c>
      <c r="D122" s="24" t="s">
        <v>246</v>
      </c>
      <c r="E122" s="24" t="s">
        <v>247</v>
      </c>
    </row>
    <row r="123" spans="1:5" ht="12.75">
      <c r="A123" s="21" t="s">
        <v>487</v>
      </c>
      <c r="B123" s="4" t="s">
        <v>385</v>
      </c>
      <c r="C123" s="4" t="s">
        <v>79</v>
      </c>
      <c r="D123" s="4" t="s">
        <v>91</v>
      </c>
      <c r="E123" s="25" t="s">
        <v>548</v>
      </c>
    </row>
    <row r="124" spans="1:5" ht="12.75">
      <c r="A124" s="21" t="s">
        <v>447</v>
      </c>
      <c r="B124" s="4" t="s">
        <v>385</v>
      </c>
      <c r="C124" s="4" t="s">
        <v>55</v>
      </c>
      <c r="D124" s="4" t="s">
        <v>118</v>
      </c>
      <c r="E124" s="25" t="s">
        <v>549</v>
      </c>
    </row>
    <row r="125" spans="1:5" ht="12.75">
      <c r="A125" s="21" t="s">
        <v>491</v>
      </c>
      <c r="B125" s="4" t="s">
        <v>385</v>
      </c>
      <c r="C125" s="4" t="s">
        <v>79</v>
      </c>
      <c r="D125" s="4" t="s">
        <v>126</v>
      </c>
      <c r="E125" s="25" t="s">
        <v>550</v>
      </c>
    </row>
    <row r="126" spans="1:5" ht="12.75">
      <c r="A126" s="21" t="s">
        <v>494</v>
      </c>
      <c r="B126" s="4" t="s">
        <v>385</v>
      </c>
      <c r="C126" s="4" t="s">
        <v>79</v>
      </c>
      <c r="D126" s="4" t="s">
        <v>313</v>
      </c>
      <c r="E126" s="25" t="s">
        <v>551</v>
      </c>
    </row>
  </sheetData>
  <sheetProtection/>
  <mergeCells count="23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2:L42"/>
    <mergeCell ref="A52:L52"/>
    <mergeCell ref="A56:L56"/>
    <mergeCell ref="A15:L15"/>
    <mergeCell ref="A18:L18"/>
    <mergeCell ref="A21:L21"/>
    <mergeCell ref="A24:L24"/>
    <mergeCell ref="A29:L29"/>
    <mergeCell ref="A36:L3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1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3" t="s">
        <v>378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2" customFormat="1" ht="61.5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1" customFormat="1" ht="12.75" customHeight="1">
      <c r="A3" s="36" t="s">
        <v>0</v>
      </c>
      <c r="B3" s="38" t="s">
        <v>9</v>
      </c>
      <c r="C3" s="38" t="s">
        <v>10</v>
      </c>
      <c r="D3" s="40" t="s">
        <v>18</v>
      </c>
      <c r="E3" s="40" t="s">
        <v>7</v>
      </c>
      <c r="F3" s="40" t="s">
        <v>11</v>
      </c>
      <c r="G3" s="40" t="s">
        <v>2</v>
      </c>
      <c r="H3" s="40"/>
      <c r="I3" s="40"/>
      <c r="J3" s="40"/>
      <c r="K3" s="40" t="s">
        <v>372</v>
      </c>
      <c r="L3" s="40" t="s">
        <v>6</v>
      </c>
      <c r="M3" s="29" t="s">
        <v>5</v>
      </c>
    </row>
    <row r="4" spans="1:13" s="1" customFormat="1" ht="21" customHeight="1" thickBot="1">
      <c r="A4" s="37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8</v>
      </c>
      <c r="K4" s="39"/>
      <c r="L4" s="39"/>
      <c r="M4" s="30"/>
    </row>
    <row r="5" spans="1:12" ht="15">
      <c r="A5" s="41" t="s">
        <v>208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.75">
      <c r="A6" s="11" t="s">
        <v>380</v>
      </c>
      <c r="B6" s="11" t="s">
        <v>381</v>
      </c>
      <c r="C6" s="11" t="s">
        <v>226</v>
      </c>
      <c r="D6" s="11" t="str">
        <f>"0,5648"</f>
        <v>0,5648</v>
      </c>
      <c r="E6" s="11" t="s">
        <v>24</v>
      </c>
      <c r="F6" s="11" t="s">
        <v>317</v>
      </c>
      <c r="G6" s="12" t="s">
        <v>207</v>
      </c>
      <c r="H6" s="13" t="s">
        <v>382</v>
      </c>
      <c r="I6" s="13"/>
      <c r="J6" s="13"/>
      <c r="K6" s="11" t="str">
        <f>"210,0"</f>
        <v>210,0</v>
      </c>
      <c r="L6" s="12" t="str">
        <f>"118,6080"</f>
        <v>118,6080</v>
      </c>
      <c r="M6" s="11" t="s">
        <v>83</v>
      </c>
    </row>
    <row r="7" spans="1:13" ht="12.75">
      <c r="A7" s="14" t="s">
        <v>380</v>
      </c>
      <c r="B7" s="14" t="s">
        <v>383</v>
      </c>
      <c r="C7" s="14" t="s">
        <v>226</v>
      </c>
      <c r="D7" s="14" t="str">
        <f>"0,5648"</f>
        <v>0,5648</v>
      </c>
      <c r="E7" s="14" t="s">
        <v>24</v>
      </c>
      <c r="F7" s="14" t="s">
        <v>317</v>
      </c>
      <c r="G7" s="16" t="s">
        <v>207</v>
      </c>
      <c r="H7" s="15" t="s">
        <v>382</v>
      </c>
      <c r="I7" s="15"/>
      <c r="J7" s="15"/>
      <c r="K7" s="14" t="str">
        <f>"210,0"</f>
        <v>210,0</v>
      </c>
      <c r="L7" s="16" t="str">
        <f>"122,2849"</f>
        <v>122,2849</v>
      </c>
      <c r="M7" s="14" t="s">
        <v>83</v>
      </c>
    </row>
    <row r="9" ht="15">
      <c r="E9" s="6" t="s">
        <v>12</v>
      </c>
    </row>
    <row r="10" ht="15">
      <c r="E10" s="6" t="s">
        <v>13</v>
      </c>
    </row>
    <row r="11" ht="15">
      <c r="E11" s="6" t="s">
        <v>14</v>
      </c>
    </row>
    <row r="12" ht="15">
      <c r="E12" s="6" t="s">
        <v>15</v>
      </c>
    </row>
    <row r="13" ht="15">
      <c r="E13" s="6" t="s">
        <v>15</v>
      </c>
    </row>
    <row r="14" ht="15">
      <c r="E14" s="6" t="s">
        <v>16</v>
      </c>
    </row>
    <row r="15" ht="15">
      <c r="E15" s="6"/>
    </row>
    <row r="17" spans="1:2" ht="18">
      <c r="A17" s="7" t="s">
        <v>17</v>
      </c>
      <c r="B17" s="7"/>
    </row>
    <row r="18" spans="1:2" ht="15">
      <c r="A18" s="20" t="s">
        <v>269</v>
      </c>
      <c r="B18" s="20"/>
    </row>
    <row r="19" spans="1:2" ht="14.25">
      <c r="A19" s="22"/>
      <c r="B19" s="23" t="s">
        <v>253</v>
      </c>
    </row>
    <row r="20" spans="1:5" ht="15">
      <c r="A20" s="24" t="s">
        <v>243</v>
      </c>
      <c r="B20" s="24" t="s">
        <v>244</v>
      </c>
      <c r="C20" s="24" t="s">
        <v>245</v>
      </c>
      <c r="D20" s="24" t="s">
        <v>246</v>
      </c>
      <c r="E20" s="24" t="s">
        <v>247</v>
      </c>
    </row>
    <row r="21" spans="1:5" ht="12.75">
      <c r="A21" s="21" t="s">
        <v>379</v>
      </c>
      <c r="B21" s="4" t="s">
        <v>253</v>
      </c>
      <c r="C21" s="4" t="s">
        <v>42</v>
      </c>
      <c r="D21" s="4" t="s">
        <v>207</v>
      </c>
      <c r="E21" s="25" t="s">
        <v>384</v>
      </c>
    </row>
    <row r="23" spans="1:2" ht="14.25">
      <c r="A23" s="22"/>
      <c r="B23" s="23" t="s">
        <v>303</v>
      </c>
    </row>
    <row r="24" spans="1:5" ht="15">
      <c r="A24" s="24" t="s">
        <v>243</v>
      </c>
      <c r="B24" s="24" t="s">
        <v>244</v>
      </c>
      <c r="C24" s="24" t="s">
        <v>245</v>
      </c>
      <c r="D24" s="24" t="s">
        <v>246</v>
      </c>
      <c r="E24" s="24" t="s">
        <v>247</v>
      </c>
    </row>
    <row r="25" spans="1:5" ht="12.75">
      <c r="A25" s="21" t="s">
        <v>379</v>
      </c>
      <c r="B25" s="4" t="s">
        <v>385</v>
      </c>
      <c r="C25" s="4" t="s">
        <v>42</v>
      </c>
      <c r="D25" s="4" t="s">
        <v>207</v>
      </c>
      <c r="E25" s="25" t="s">
        <v>386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2018-10-15T12:28:11Z</dcterms:modified>
  <cp:category/>
  <cp:version/>
  <cp:contentType/>
  <cp:contentStatus/>
</cp:coreProperties>
</file>